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54385f883b2aa71/IG/Data/"/>
    </mc:Choice>
  </mc:AlternateContent>
  <xr:revisionPtr revIDLastSave="135" documentId="8_{5A67BA49-CE74-4E5D-9BB9-4097D69F5829}" xr6:coauthVersionLast="47" xr6:coauthVersionMax="47" xr10:uidLastSave="{1367638C-2C4B-4C7A-B266-75117F29A7D6}"/>
  <bookViews>
    <workbookView xWindow="-110" yWindow="-110" windowWidth="22780" windowHeight="14540" xr2:uid="{00000000-000D-0000-FFFF-FFFF00000000}"/>
  </bookViews>
  <sheets>
    <sheet name="Unified" sheetId="14" r:id="rId1"/>
    <sheet name="Ala Carte" sheetId="12" r:id="rId2"/>
    <sheet name="Powder Coat" sheetId="16" r:id="rId3"/>
  </sheets>
  <externalReferences>
    <externalReference r:id="rId4"/>
    <externalReference r:id="rId5"/>
    <externalReference r:id="rId6"/>
    <externalReference r:id="rId7"/>
  </externalReferences>
  <definedNames>
    <definedName name="Bottom993">Unified!$D$150</definedName>
    <definedName name="BottomCost">Unified!$D$149</definedName>
    <definedName name="CONDITION" localSheetId="0">Unified!$F$13</definedName>
    <definedName name="CONDITION">#REF!</definedName>
    <definedName name="ConvKit">'[1]Conversion Kit'!$K$117</definedName>
    <definedName name="ENGINE" localSheetId="0">Unified!$F$12</definedName>
    <definedName name="ENGINE">#REF!</definedName>
    <definedName name="EngineType">Unified!$B$16:$D$20</definedName>
    <definedName name="LABIR">#REF!</definedName>
    <definedName name="labor">#REF!</definedName>
    <definedName name="LaborRate">[2]TopEnd!$L$11</definedName>
    <definedName name="rate">[2]TopEnd!$L$11</definedName>
    <definedName name="Redline">#REF!</definedName>
    <definedName name="RevPerMi">#REF!</definedName>
    <definedName name="RFXXXX">#REF!</definedName>
    <definedName name="RnP">#REF!</definedName>
    <definedName name="StockStat">[3]Status!$G$2:$H$10</definedName>
    <definedName name="TDiam">#REF!</definedName>
    <definedName name="TopCost">Unified!$D$145</definedName>
    <definedName name="TOTAL">[4]Sheet1!$F$17</definedName>
    <definedName name="TRANS" localSheetId="0">Unified!$F$11</definedName>
    <definedName name="TRANS">#REF!</definedName>
    <definedName name="Year">Unified!$A$2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3" i="14" l="1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44" i="12"/>
  <c r="I45" i="12"/>
  <c r="I46" i="12"/>
  <c r="I47" i="12"/>
  <c r="I48" i="12"/>
  <c r="I49" i="12"/>
  <c r="I50" i="12"/>
  <c r="I51" i="12"/>
  <c r="I52" i="12"/>
  <c r="I53" i="12"/>
  <c r="I54" i="12"/>
  <c r="I55" i="12"/>
  <c r="H83" i="12"/>
  <c r="H82" i="12"/>
  <c r="I43" i="12"/>
  <c r="I59" i="12"/>
  <c r="I60" i="12"/>
  <c r="I61" i="12"/>
  <c r="I62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F122" i="12"/>
  <c r="I121" i="12"/>
  <c r="I120" i="12"/>
  <c r="I117" i="12"/>
  <c r="I116" i="12"/>
  <c r="I115" i="12"/>
  <c r="I114" i="12"/>
  <c r="I113" i="12"/>
  <c r="I111" i="12"/>
  <c r="I110" i="12"/>
  <c r="F109" i="12"/>
  <c r="G122" i="12" s="1"/>
  <c r="F108" i="12"/>
  <c r="I107" i="12"/>
  <c r="I106" i="12"/>
  <c r="I105" i="12"/>
  <c r="I104" i="12"/>
  <c r="F104" i="12"/>
  <c r="I101" i="12"/>
  <c r="I100" i="12"/>
  <c r="I99" i="12"/>
  <c r="I98" i="12"/>
  <c r="F98" i="12"/>
  <c r="I97" i="12"/>
  <c r="I96" i="12"/>
  <c r="F96" i="12"/>
  <c r="I95" i="12"/>
  <c r="I94" i="12"/>
  <c r="F93" i="12"/>
  <c r="F92" i="12"/>
  <c r="F91" i="12"/>
  <c r="F90" i="12"/>
  <c r="I63" i="12"/>
  <c r="B12" i="14"/>
  <c r="G41" i="12"/>
  <c r="I61" i="14"/>
  <c r="I66" i="14"/>
  <c r="I67" i="14"/>
  <c r="I68" i="14"/>
  <c r="I69" i="14"/>
  <c r="I70" i="14"/>
  <c r="I71" i="14"/>
  <c r="I72" i="14"/>
  <c r="L19" i="16"/>
  <c r="I19" i="16"/>
  <c r="L12" i="16"/>
  <c r="I12" i="16"/>
  <c r="L11" i="16"/>
  <c r="I11" i="16"/>
  <c r="L10" i="16"/>
  <c r="I10" i="16"/>
  <c r="L18" i="16"/>
  <c r="L17" i="16"/>
  <c r="L16" i="16"/>
  <c r="L9" i="16"/>
  <c r="I9" i="16"/>
  <c r="L14" i="16"/>
  <c r="I14" i="16"/>
  <c r="L13" i="16"/>
  <c r="L8" i="16"/>
  <c r="I8" i="16"/>
  <c r="L7" i="16"/>
  <c r="I7" i="16"/>
  <c r="L6" i="16"/>
  <c r="I6" i="16"/>
  <c r="L5" i="16"/>
  <c r="I5" i="16"/>
  <c r="L15" i="16"/>
  <c r="I15" i="16"/>
  <c r="L4" i="16"/>
  <c r="I4" i="16"/>
  <c r="K122" i="12" l="1"/>
  <c r="K108" i="12"/>
  <c r="G108" i="12"/>
  <c r="J90" i="12"/>
  <c r="I20" i="16"/>
  <c r="L20" i="16"/>
  <c r="I158" i="14" l="1"/>
  <c r="I153" i="14"/>
  <c r="I154" i="14"/>
  <c r="I155" i="14"/>
  <c r="I156" i="14"/>
  <c r="I157" i="14"/>
  <c r="I159" i="14"/>
  <c r="B13" i="14"/>
  <c r="B14" i="14"/>
  <c r="B11" i="14"/>
  <c r="H146" i="14"/>
  <c r="H150" i="14" s="1"/>
  <c r="H145" i="14"/>
  <c r="H149" i="14" s="1"/>
  <c r="F12" i="14"/>
  <c r="F177" i="14"/>
  <c r="F176" i="14"/>
  <c r="K175" i="14"/>
  <c r="F175" i="14"/>
  <c r="F174" i="14"/>
  <c r="F173" i="14"/>
  <c r="F172" i="14"/>
  <c r="F171" i="14"/>
  <c r="I170" i="14"/>
  <c r="F170" i="14"/>
  <c r="I169" i="14"/>
  <c r="F169" i="14"/>
  <c r="F168" i="14"/>
  <c r="I167" i="14"/>
  <c r="F167" i="14"/>
  <c r="I166" i="14"/>
  <c r="F166" i="14"/>
  <c r="F165" i="14"/>
  <c r="F164" i="14"/>
  <c r="F163" i="14"/>
  <c r="B161" i="14"/>
  <c r="H143" i="14"/>
  <c r="H144" i="14" s="1"/>
  <c r="H148" i="14" s="1"/>
  <c r="F139" i="14"/>
  <c r="I138" i="14"/>
  <c r="I137" i="14"/>
  <c r="I134" i="14"/>
  <c r="I133" i="14"/>
  <c r="I132" i="14"/>
  <c r="I131" i="14"/>
  <c r="I130" i="14"/>
  <c r="I128" i="14"/>
  <c r="I127" i="14"/>
  <c r="F126" i="14"/>
  <c r="G139" i="14" s="1"/>
  <c r="F125" i="14"/>
  <c r="I124" i="14"/>
  <c r="I123" i="14"/>
  <c r="I122" i="14"/>
  <c r="I121" i="14"/>
  <c r="F121" i="14"/>
  <c r="I118" i="14"/>
  <c r="I117" i="14"/>
  <c r="I116" i="14"/>
  <c r="I115" i="14"/>
  <c r="F115" i="14"/>
  <c r="I114" i="14"/>
  <c r="I113" i="14"/>
  <c r="F113" i="14"/>
  <c r="I111" i="14"/>
  <c r="I110" i="14"/>
  <c r="F109" i="14"/>
  <c r="F108" i="14"/>
  <c r="F107" i="14"/>
  <c r="F106" i="14"/>
  <c r="I105" i="14"/>
  <c r="I104" i="14"/>
  <c r="I103" i="14"/>
  <c r="I102" i="14"/>
  <c r="I101" i="14"/>
  <c r="I100" i="14"/>
  <c r="I60" i="14"/>
  <c r="F59" i="14"/>
  <c r="F58" i="14"/>
  <c r="B28" i="14"/>
  <c r="F13" i="14"/>
  <c r="H41" i="12"/>
  <c r="I41" i="12" s="1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12" i="12"/>
  <c r="E123" i="12"/>
  <c r="E124" i="12"/>
  <c r="E125" i="12"/>
  <c r="E126" i="12"/>
  <c r="E127" i="12"/>
  <c r="E128" i="12"/>
  <c r="E129" i="12"/>
  <c r="E130" i="12"/>
  <c r="E131" i="12"/>
  <c r="E132" i="12"/>
  <c r="B65" i="14" l="1"/>
  <c r="I65" i="14" s="1"/>
  <c r="B62" i="14"/>
  <c r="I62" i="14" s="1"/>
  <c r="B75" i="14"/>
  <c r="I75" i="14" s="1"/>
  <c r="J106" i="14" s="1"/>
  <c r="B77" i="14"/>
  <c r="I77" i="14" s="1"/>
  <c r="B76" i="14"/>
  <c r="I76" i="14" s="1"/>
  <c r="B149" i="14"/>
  <c r="I149" i="14" s="1"/>
  <c r="B150" i="14"/>
  <c r="I150" i="14" s="1"/>
  <c r="B145" i="14"/>
  <c r="I145" i="14" s="1"/>
  <c r="B141" i="14"/>
  <c r="I141" i="14" s="1"/>
  <c r="J41" i="12"/>
  <c r="K91" i="12" s="1"/>
  <c r="H152" i="14"/>
  <c r="B43" i="14"/>
  <c r="B44" i="14" s="1"/>
  <c r="F11" i="14"/>
  <c r="B48" i="14"/>
  <c r="G125" i="14"/>
  <c r="B47" i="14"/>
  <c r="H147" i="14"/>
  <c r="H151" i="14" s="1"/>
  <c r="B39" i="14"/>
  <c r="K125" i="14"/>
  <c r="G106" i="14"/>
  <c r="G42" i="14"/>
  <c r="G49" i="14"/>
  <c r="K139" i="14"/>
  <c r="E57" i="14"/>
  <c r="B33" i="14"/>
  <c r="G38" i="14"/>
  <c r="K171" i="14"/>
  <c r="B147" i="14"/>
  <c r="I147" i="14" s="1"/>
  <c r="B46" i="14"/>
  <c r="G32" i="14"/>
  <c r="F57" i="14"/>
  <c r="B148" i="14"/>
  <c r="I148" i="14" s="1"/>
  <c r="B142" i="14"/>
  <c r="I142" i="14" s="1"/>
  <c r="B151" i="14"/>
  <c r="I151" i="14" s="1"/>
  <c r="B143" i="14"/>
  <c r="I143" i="14" s="1"/>
  <c r="B63" i="14"/>
  <c r="I63" i="14" s="1"/>
  <c r="B152" i="14"/>
  <c r="I152" i="14" s="1"/>
  <c r="B144" i="14"/>
  <c r="I144" i="14" s="1"/>
  <c r="B64" i="14"/>
  <c r="I64" i="14" s="1"/>
  <c r="B146" i="14"/>
  <c r="I146" i="14" s="1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J126" i="12"/>
  <c r="K127" i="12" s="1"/>
  <c r="J123" i="12"/>
  <c r="E58" i="12"/>
  <c r="E42" i="12"/>
  <c r="D41" i="12"/>
  <c r="E40" i="12"/>
  <c r="E38" i="12"/>
  <c r="E35" i="12"/>
  <c r="E34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J57" i="14" l="1"/>
  <c r="K164" i="14"/>
  <c r="B51" i="14"/>
  <c r="B34" i="14"/>
  <c r="B52" i="14" s="1"/>
  <c r="B40" i="14"/>
  <c r="B56" i="14" s="1"/>
  <c r="B55" i="14"/>
  <c r="B162" i="14"/>
  <c r="F128" i="12"/>
  <c r="F16" i="12"/>
  <c r="F40" i="12"/>
  <c r="F26" i="12"/>
  <c r="F22" i="12"/>
  <c r="F34" i="12"/>
  <c r="G73" i="14" l="1"/>
  <c r="G173" i="14"/>
  <c r="J73" i="14"/>
  <c r="K129" i="12"/>
  <c r="F41" i="12"/>
  <c r="K107" i="14" l="1"/>
  <c r="K173" i="14" s="1"/>
  <c r="K176" i="14" s="1"/>
  <c r="K182" i="14" s="1"/>
  <c r="J9" i="14" s="1"/>
</calcChain>
</file>

<file path=xl/sharedStrings.xml><?xml version="1.0" encoding="utf-8"?>
<sst xmlns="http://schemas.openxmlformats.org/spreadsheetml/2006/main" count="422" uniqueCount="244">
  <si>
    <t>Stud Kit</t>
  </si>
  <si>
    <t>Spacer and bolt kit</t>
  </si>
  <si>
    <t>Wiring Harness</t>
  </si>
  <si>
    <t>Flywheel Kit</t>
  </si>
  <si>
    <t>Fuel Line - filter to Injection</t>
  </si>
  <si>
    <t>Modified Sheet Metal</t>
  </si>
  <si>
    <t>Modified Cross Member</t>
  </si>
  <si>
    <t>Throttle Cable</t>
  </si>
  <si>
    <t>9 FW bolts</t>
  </si>
  <si>
    <t>1 pilot bearing</t>
  </si>
  <si>
    <t>DME Relay</t>
  </si>
  <si>
    <t>Fuel System</t>
  </si>
  <si>
    <t>9 Clutch Bolts/Lockwashers</t>
  </si>
  <si>
    <t>373 West Chestnut Hill Road</t>
  </si>
  <si>
    <t>Flywheel for 3.6 conversion - 915</t>
  </si>
  <si>
    <t>Single Pulley Alternator Conversion</t>
  </si>
  <si>
    <t>993 Coil Braket - Welded Option</t>
  </si>
  <si>
    <t xml:space="preserve">New Bosch Motronic Fuel Pump Early car </t>
  </si>
  <si>
    <t>Call Ahead Surcharge</t>
  </si>
  <si>
    <t>Liftgate Surcharge</t>
  </si>
  <si>
    <t>Shipping</t>
  </si>
  <si>
    <t>Popular Options</t>
  </si>
  <si>
    <t>More Options</t>
  </si>
  <si>
    <t>Exhausts</t>
  </si>
  <si>
    <t>993 K&amp;N Filter (Specify if VRAM Temp Hole)</t>
  </si>
  <si>
    <t>Total Conversion Kit and Options</t>
  </si>
  <si>
    <t>Engine Cost</t>
  </si>
  <si>
    <t>Exhaust Cost</t>
  </si>
  <si>
    <t>Conversion Kit Cost</t>
  </si>
  <si>
    <t>Instant-G</t>
  </si>
  <si>
    <t>Porsche Performance Specialists</t>
  </si>
  <si>
    <t>911 3.6 and Boxster 3.4 Conversions</t>
  </si>
  <si>
    <t>Newark DE 19713</t>
  </si>
  <si>
    <t>(302)559-5905</t>
  </si>
  <si>
    <r>
      <t>E-mail:</t>
    </r>
    <r>
      <rPr>
        <sz val="12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timmins@instant-g.com</t>
    </r>
    <r>
      <rPr>
        <b/>
        <sz val="12"/>
        <rFont val="Times New Roman"/>
        <family val="1"/>
      </rPr>
      <t xml:space="preserve"> </t>
    </r>
  </si>
  <si>
    <t>www.instant-g.com</t>
  </si>
  <si>
    <t>Customer Added Options</t>
  </si>
  <si>
    <t>Distributor Breather Hose Kit</t>
  </si>
  <si>
    <t>Kit Shipping -  by quote</t>
  </si>
  <si>
    <t>Total Shipping</t>
  </si>
  <si>
    <t>Phone</t>
  </si>
  <si>
    <t>email</t>
  </si>
  <si>
    <t>Address - Street</t>
  </si>
  <si>
    <t>City/State/Zip</t>
  </si>
  <si>
    <t>Includes Engine to DME wiring harness</t>
  </si>
  <si>
    <t>Includes DME</t>
  </si>
  <si>
    <t>Residential Surcharge</t>
  </si>
  <si>
    <t>Engine Shipping - by quote</t>
  </si>
  <si>
    <t>Oil Cooling Cost</t>
  </si>
  <si>
    <t xml:space="preserve">IG Stainless Exhaust, 1-3/4" headers -w- heat and muffler </t>
  </si>
  <si>
    <t>IG Headers, 304 Stainless, 1-3/4" primary, 2.5" out, no heat</t>
  </si>
  <si>
    <t>Happy Crab II Muffler, includes resonator tips</t>
  </si>
  <si>
    <t xml:space="preserve">     Add Stainless Resonator Tips to IG Stainless Exhaust</t>
  </si>
  <si>
    <t xml:space="preserve">     Add Catalysts to IG Exhaust, 200 cell</t>
  </si>
  <si>
    <t xml:space="preserve">     Add Catalyst plus cat bypass tube to IG Exhaust, 200 cell</t>
  </si>
  <si>
    <t>RS Crab - 993 Heater Ducting Assembly, cap hoses and adapters</t>
  </si>
  <si>
    <t>964 Wiring harness with DME relay connector</t>
  </si>
  <si>
    <t>915 Throttle cable assembly, with adjustable guide</t>
  </si>
  <si>
    <t>G50 Throttle cable assembly, with adjustable guide</t>
  </si>
  <si>
    <t>964 Oil Feed Line, stainless steel</t>
  </si>
  <si>
    <t>Oil Lines</t>
  </si>
  <si>
    <t>Factory Scavenge Oil SSI Line 2 (J)         "?"  to thermostat</t>
  </si>
  <si>
    <t>Factory Scavenge Oil SSI Line 1 (?)       Engine Case to "J" Line</t>
  </si>
  <si>
    <t>Sheetmetal Modification (No cost option -w- kit)</t>
  </si>
  <si>
    <t>Crossmember reshaped, reinforced, strengthened (supply core)</t>
  </si>
  <si>
    <t>Belcrank - Modified (supply core, no cost option -w- kit)</t>
  </si>
  <si>
    <t>Early Car Fuel Line Kit, 22' braided AN hose, 1 banjo -w- nut and crush rings, 3-16mm ball, 1-14mm ball 1-14bAN6+AN6-90, NET UPGRADE- Uses early SC filter</t>
  </si>
  <si>
    <t>Replacement Factory Fan Belt</t>
  </si>
  <si>
    <t xml:space="preserve">Gates "Green Stripe" / Napa XL extreme duty belt - reccomended </t>
  </si>
  <si>
    <t>Happy Crab RS outlet option, 69-73 cars</t>
  </si>
  <si>
    <t>PS Blockoff Includes 993 sheetmetal blockoff template</t>
  </si>
  <si>
    <t>95/Euro Includes Ignition Ignitor</t>
  </si>
  <si>
    <t>G50 Cup RS Sachs Clutch Kit for 87-89 upgrade</t>
  </si>
  <si>
    <t>Paypal Fee 3%</t>
  </si>
  <si>
    <t>Total</t>
  </si>
  <si>
    <t>Payments Received</t>
  </si>
  <si>
    <t>Balance Due</t>
  </si>
  <si>
    <t>1984-86</t>
  </si>
  <si>
    <t>1987-1989</t>
  </si>
  <si>
    <t>Pre 1973</t>
  </si>
  <si>
    <t>3 short studs, 4 10mm nuts, 4 10mm washers</t>
  </si>
  <si>
    <t>2 fabricated spacers, 2 washers, 2 5.5" bolts, 2 nuts</t>
  </si>
  <si>
    <t>993 Oil Feed Line, stainless steel</t>
  </si>
  <si>
    <t>993 Wiring harness with DME relay connector</t>
  </si>
  <si>
    <t>Basic Conversion Kit</t>
  </si>
  <si>
    <t>993 Based 3.6 Conversion Estimator</t>
  </si>
  <si>
    <t>Fuel Line - Return Carrera 84-89</t>
  </si>
  <si>
    <t>Fuel Line - Return CIS 73-83</t>
  </si>
  <si>
    <t>Fuel Line - Return (to barb connector) -72</t>
  </si>
  <si>
    <t>"S" Hose - tank to feed line - NOTE Used not reccomended!</t>
  </si>
  <si>
    <t>915 PowerPack Clutch Kit ($800+ elsewhere)</t>
  </si>
  <si>
    <t>993 US VRAM DME Reprogramming-Stock Tune</t>
  </si>
  <si>
    <t/>
  </si>
  <si>
    <t>included</t>
  </si>
  <si>
    <t>KL21 Carrera 84-89</t>
  </si>
  <si>
    <t>Fuel Filter Early and SC through 1983</t>
  </si>
  <si>
    <t>G50 Starter Ring Gear</t>
  </si>
  <si>
    <t>993 Coil Braket - Bolt On Option</t>
  </si>
  <si>
    <r>
      <t>E-mail:</t>
    </r>
    <r>
      <rPr>
        <sz val="12"/>
        <rFont val="Arial"/>
        <family val="1"/>
      </rPr>
      <t xml:space="preserve"> </t>
    </r>
    <r>
      <rPr>
        <b/>
        <sz val="12"/>
        <color indexed="18"/>
        <rFont val="Arial"/>
        <family val="1"/>
      </rPr>
      <t>timmins@instant-g.com</t>
    </r>
    <r>
      <rPr>
        <b/>
        <sz val="12"/>
        <rFont val="Arial"/>
        <family val="1"/>
      </rPr>
      <t xml:space="preserve"> </t>
    </r>
  </si>
  <si>
    <t>Decklid Hinge Modification clear heater blower motor (supply core)</t>
  </si>
  <si>
    <t>Replacement Shroud Cap 993 95-late vram</t>
  </si>
  <si>
    <t>Replacement Shroud Cap 964 95 early (required for CF tube)</t>
  </si>
  <si>
    <t xml:space="preserve">Dual 44 Row Fender Kit S/SC Upgrade coolers,fittings, clamps, oill cooler brackets (uses existing hard lines) </t>
  </si>
  <si>
    <t>Name</t>
  </si>
  <si>
    <t>Oil Breatherr Line - Oil Console on engine to lower oil tank</t>
  </si>
  <si>
    <t>Oil breather dual coupler kit with 8 euro clamps</t>
  </si>
  <si>
    <t>Engine 95 993,  USED 45K miles install all accessories and test</t>
  </si>
  <si>
    <t>USED</t>
  </si>
  <si>
    <t>TOP END</t>
  </si>
  <si>
    <t>COMPLETE REBUILD</t>
  </si>
  <si>
    <r>
      <t>Engine 96 993,</t>
    </r>
    <r>
      <rPr>
        <b/>
        <sz val="10"/>
        <rFont val="Arial"/>
        <family val="2"/>
      </rPr>
      <t>VRAM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Euro DME and harness</t>
    </r>
    <r>
      <rPr>
        <sz val="10"/>
        <rFont val="Arial"/>
        <family val="2"/>
      </rPr>
      <t xml:space="preserve"> OBD-I 70K miles</t>
    </r>
  </si>
  <si>
    <t>Engine 95 993, 95 DME, fresh top end with valve guides, through bolt seals, etc.. harness install all accessories and test</t>
  </si>
  <si>
    <r>
      <t xml:space="preserve">Engine </t>
    </r>
    <r>
      <rPr>
        <b/>
        <sz val="10"/>
        <rFont val="Arial"/>
        <family val="2"/>
      </rPr>
      <t>VRAM, 95-98 Euro DME/harness</t>
    </r>
    <r>
      <rPr>
        <sz val="10"/>
        <rFont val="Arial"/>
        <family val="2"/>
      </rPr>
      <t>, VRam Spec Valves/Heads, Compete rebuild with valve guides, etc.. replace all bearings, seals, etc. install all accessories/test</t>
    </r>
  </si>
  <si>
    <r>
      <t xml:space="preserve">Engine 95-98 993  </t>
    </r>
    <r>
      <rPr>
        <b/>
        <sz val="10"/>
        <rFont val="Arial"/>
        <family val="2"/>
      </rPr>
      <t>VRAM</t>
    </r>
    <r>
      <rPr>
        <sz val="10"/>
        <rFont val="Arial"/>
        <family val="2"/>
      </rPr>
      <t xml:space="preserve"> Spec fresh top end with valve guides, through bolt seals, etc. </t>
    </r>
    <r>
      <rPr>
        <b/>
        <sz val="10"/>
        <rFont val="Arial"/>
        <family val="2"/>
      </rPr>
      <t xml:space="preserve">Euro DME/harness </t>
    </r>
    <r>
      <rPr>
        <sz val="10"/>
        <rFont val="Arial"/>
        <family val="2"/>
      </rPr>
      <t>install all accessories/test</t>
    </r>
  </si>
  <si>
    <t>Upgrade to full kit, rocker lines, thermostat, oil tank line, scavenge line and adel clamps</t>
  </si>
  <si>
    <t>993 Passenger Fender mount kit with fan - for SC/Carrera</t>
  </si>
  <si>
    <t>Add On kits use existing thermostat and rocker lines.</t>
  </si>
  <si>
    <t>Add on 44 Row 2nd cooler kit for Driver's Fender mount - complete 13' hose</t>
  </si>
  <si>
    <t>Upgrades</t>
  </si>
  <si>
    <t>Cooling fan kit for 44 row or carrera cooler (specify) includes fan, custom bracket, relay assembly thermostat and thermostat housing.</t>
  </si>
  <si>
    <t>Chassis</t>
  </si>
  <si>
    <t>Engine</t>
  </si>
  <si>
    <t>1995 Non Varioram</t>
  </si>
  <si>
    <t>1995 With Vram Conversion</t>
  </si>
  <si>
    <t>1995-1998 Varioram Euro Spec</t>
  </si>
  <si>
    <t>1996-1998 Varioram US Spec</t>
  </si>
  <si>
    <t xml:space="preserve"> </t>
  </si>
  <si>
    <t>Customer Supplied</t>
  </si>
  <si>
    <t xml:space="preserve">Used Tested </t>
  </si>
  <si>
    <t>Top End</t>
  </si>
  <si>
    <t>Full Rebuild</t>
  </si>
  <si>
    <t>Condition</t>
  </si>
  <si>
    <t>Trans</t>
  </si>
  <si>
    <t>95</t>
  </si>
  <si>
    <t>95V</t>
  </si>
  <si>
    <t>VRUS</t>
  </si>
  <si>
    <t>CUST</t>
  </si>
  <si>
    <t>FULL</t>
  </si>
  <si>
    <t>TOP</t>
  </si>
  <si>
    <t>Engine Condition</t>
  </si>
  <si>
    <t>VREURO</t>
  </si>
  <si>
    <r>
      <t>Engine</t>
    </r>
    <r>
      <rPr>
        <b/>
        <sz val="10"/>
        <rFont val="Arial"/>
        <family val="2"/>
      </rPr>
      <t xml:space="preserve"> VRAM </t>
    </r>
    <r>
      <rPr>
        <sz val="10"/>
        <rFont val="Arial"/>
        <family val="2"/>
      </rPr>
      <t xml:space="preserve">96-98 993, </t>
    </r>
    <r>
      <rPr>
        <b/>
        <sz val="10"/>
        <rFont val="Arial"/>
        <family val="2"/>
      </rPr>
      <t>US DME</t>
    </r>
    <r>
      <rPr>
        <sz val="10"/>
        <rFont val="Arial"/>
        <family val="2"/>
      </rPr>
      <t xml:space="preserve"> Fresh top end, with valve guides, through bolt seals, install accessories/ test, Includes 97-98 DME</t>
    </r>
  </si>
  <si>
    <r>
      <t xml:space="preserve">Engine </t>
    </r>
    <r>
      <rPr>
        <b/>
        <sz val="10"/>
        <rFont val="Arial"/>
        <family val="2"/>
      </rPr>
      <t>VRAM, 97-98 US DME/harness</t>
    </r>
    <r>
      <rPr>
        <sz val="10"/>
        <rFont val="Arial"/>
        <family val="2"/>
      </rPr>
      <t>, VRam Spec Valves/Heads, Compete rebuild with valve guides, etc.. replace all bearings, seals, etc. install all accessories/test</t>
    </r>
  </si>
  <si>
    <t>60/70 Row Nose Mountl Kit  Replaces SC Trombone</t>
  </si>
  <si>
    <t>60-70 Row Mocal Nose Mount Kit -Nose  retains fender mount carrera cooler</t>
  </si>
  <si>
    <t>Quantity In Set</t>
  </si>
  <si>
    <t>Retail - PRICE FOR SET</t>
  </si>
  <si>
    <t>Item</t>
  </si>
  <si>
    <t>Cerakoat</t>
  </si>
  <si>
    <t>Clear 2nd Stage</t>
  </si>
  <si>
    <t>Engine Crossmember</t>
  </si>
  <si>
    <t>Cylinder Air Deflectors</t>
  </si>
  <si>
    <t>Cam boxes and covers</t>
  </si>
  <si>
    <t>Fan Ring</t>
  </si>
  <si>
    <t>Crank Pulley</t>
  </si>
  <si>
    <t xml:space="preserve">     Add Upgrade IG from 1-3/4" to 1-7/8" Primary Tubing  </t>
  </si>
  <si>
    <t xml:space="preserve">     Add for RS for up to 73</t>
  </si>
  <si>
    <t>Ala Carte 3.6 Conversion Estimator</t>
  </si>
  <si>
    <t>Incl</t>
  </si>
  <si>
    <t>Oil Feed Line</t>
  </si>
  <si>
    <r>
      <t xml:space="preserve">Engine 993 </t>
    </r>
    <r>
      <rPr>
        <b/>
        <sz val="10"/>
        <rFont val="Arial"/>
        <family val="2"/>
      </rPr>
      <t>VRAM</t>
    </r>
    <r>
      <rPr>
        <sz val="10"/>
        <rFont val="Arial"/>
        <family val="2"/>
      </rPr>
      <t>, 1996 USED 70k miles install all accessories/test, with 1997-98 DME</t>
    </r>
  </si>
  <si>
    <t>993 VRam vacuum line set with check valve</t>
  </si>
  <si>
    <t>Dual 993 Vaccum Canisters with mount- Required with VRam</t>
  </si>
  <si>
    <t xml:space="preserve">Dual OEM (Modie or L&amp;R)  Carrera Fender Kit S/SC Upgrade coolers,fittings, clamps, brackets (uses existing hard lines) </t>
  </si>
  <si>
    <t xml:space="preserve">Dual Aftermarket/Asian Carrera Fender Kit S/SC Upgrade coolers,fittings, clamps, brackets (uses existing hard lines) </t>
  </si>
  <si>
    <t>Add on Aftermarket Carrera Radiator for 2nd cooler Driver's Fender complete with lines and adapters</t>
  </si>
  <si>
    <t>Add on OEM (L&amp;R) Carrera Radiator for 2nd cooler Driver's Fender complete with lines and adapters</t>
  </si>
  <si>
    <t xml:space="preserve">Dual Extra Duty CSF Carrera Fender Kit S/SC Upgrade coolers,fittings, clamps, brackets (uses existing hard lines) </t>
  </si>
  <si>
    <t>Fan Pulley Pair (3 hole)</t>
  </si>
  <si>
    <t>AC Compressor NEW*</t>
  </si>
  <si>
    <t>* Air compressor cannot be powder coated due to the temperatures involved. Choices are Cerakote or 2K paint.  Air compressor includes line adapter as needed.</t>
  </si>
  <si>
    <t>Fan Blades</t>
  </si>
  <si>
    <t>Fan Clamps 993/964</t>
  </si>
  <si>
    <t>Fuel Line - Return -83</t>
  </si>
  <si>
    <t>Fuel Line - Return 84+</t>
  </si>
  <si>
    <t>Upcharge 993 Wiring Harness</t>
  </si>
  <si>
    <t>Upcharge 993 Oil Feed Line, stainless steel</t>
  </si>
  <si>
    <t>Upocharge Flywheel for 3.6 conversion - G50 with sensor pickup (Adds $200, with or without RS clutch kit)</t>
  </si>
  <si>
    <t>Add for 993</t>
  </si>
  <si>
    <t>Add for G50</t>
  </si>
  <si>
    <t>AC Console FULL or Short</t>
  </si>
  <si>
    <t>1989-1994 964</t>
  </si>
  <si>
    <t>964</t>
  </si>
  <si>
    <t>Oxygen Sensor 964</t>
  </si>
  <si>
    <t>SOLD  1992-94 Engine 48K miles, tested and leak free, late cylinders with head gaskets, tested on the road with all accessorieschosen above installed</t>
  </si>
  <si>
    <t>964 -993 System, Rotated Flanges Complete -w- Happy Crab II                                                                             (heater plumbing additional)</t>
  </si>
  <si>
    <t>Flywheel for 3.6 conversion - G50 with sensor pickup (Adds $200, with or without RS clutch kit)</t>
  </si>
  <si>
    <r>
      <t>1990-94 Engine with top end rebuild, ramps, etc. plus updates, plastic intake,</t>
    </r>
    <r>
      <rPr>
        <b/>
        <sz val="10"/>
        <rFont val="Arial"/>
        <family val="2"/>
      </rPr>
      <t>HEAD STUDS</t>
    </r>
    <r>
      <rPr>
        <sz val="10"/>
        <rFont val="Arial"/>
        <family val="2"/>
      </rPr>
      <t xml:space="preserve"> late cylinders, bearings etc.</t>
    </r>
  </si>
  <si>
    <r>
      <t xml:space="preserve">1990-94 Engine with top end rebuild, </t>
    </r>
    <r>
      <rPr>
        <b/>
        <sz val="10"/>
        <rFont val="Arial"/>
        <family val="2"/>
      </rPr>
      <t>HEAD STUDS</t>
    </r>
    <r>
      <rPr>
        <sz val="10"/>
        <rFont val="Arial"/>
        <family val="2"/>
      </rPr>
      <t xml:space="preserve"> ramps, etc. plus updates, plastic intake, late cylinders, bearings etc.</t>
    </r>
  </si>
  <si>
    <t>1974-83</t>
  </si>
  <si>
    <t>Modify AC Bracket to RS Style if not running AC</t>
  </si>
  <si>
    <t>Oxegen Sensor - 993 4 wire (Specify 95 or before/after cat)</t>
  </si>
  <si>
    <t>Carbon Fiber Heater Tube (requires 964 shroud cap)</t>
  </si>
  <si>
    <t>Factory RS heater tube ABS (requires 964 shroud cap) $436 list</t>
  </si>
  <si>
    <t>Oil Breather Line - Intake boot to oil filler neck on tank</t>
  </si>
  <si>
    <t>915 Starter Ring Gear - Backordered with no ETA - may need factory at $260</t>
  </si>
  <si>
    <t>UPGRADES</t>
  </si>
  <si>
    <t>New cam box washers Set of 18 Cosmetic</t>
  </si>
  <si>
    <t>Rennline Lower Valve Covers 993 or 964 Set of 2</t>
  </si>
  <si>
    <t>Rennline Upper Valve Covers 993 or 964 Set of 2</t>
  </si>
  <si>
    <t>Spark Plug Wire Set 993 or 964</t>
  </si>
  <si>
    <t>Distributor caps and rotors 2 each</t>
  </si>
  <si>
    <t>964-Heater Distrbution for 993 Headers - Factory 993 Tube plus Hoses</t>
  </si>
  <si>
    <t>Heater hoses, clamps and adapters for 993 Header to flappers</t>
  </si>
  <si>
    <t>Code, "S", "2" or "C"</t>
  </si>
  <si>
    <t>Cost</t>
  </si>
  <si>
    <t>Color</t>
  </si>
  <si>
    <t>Sheetmetal Set 993</t>
  </si>
  <si>
    <t>NA</t>
  </si>
  <si>
    <t>Bk Semi</t>
  </si>
  <si>
    <t>S</t>
  </si>
  <si>
    <t>BkSemi</t>
  </si>
  <si>
    <t>Gold</t>
  </si>
  <si>
    <t>Fuel Rails 993 or 964</t>
  </si>
  <si>
    <t>Silver Gloss</t>
  </si>
  <si>
    <t>AC Bracket Slider</t>
  </si>
  <si>
    <t>MidBZ</t>
  </si>
  <si>
    <t>2K Paint**</t>
  </si>
  <si>
    <t>Single Stage</t>
  </si>
  <si>
    <t>** 2K paint is available in Gloss or Matte Black and a limited number of other colors.  It offers chemical protection similar to Cerakote at a lower cost.</t>
  </si>
  <si>
    <t>Code -&gt;</t>
  </si>
  <si>
    <t>2K</t>
  </si>
  <si>
    <t>SS</t>
  </si>
  <si>
    <t>2S</t>
  </si>
  <si>
    <t>CK</t>
  </si>
  <si>
    <t>Code, 2K, "SS", "2S" or "CK"</t>
  </si>
  <si>
    <t>BkGloss</t>
  </si>
  <si>
    <t>Bengal Silver</t>
  </si>
  <si>
    <t>Dark Gray</t>
  </si>
  <si>
    <t>Varioram -Includes Dissasembly/Reassembly</t>
  </si>
  <si>
    <t>AC Support Fork</t>
  </si>
  <si>
    <t>AC Top Bracket</t>
  </si>
  <si>
    <t>Set of new style teflon lifters (12)  Article</t>
  </si>
  <si>
    <t>Automobile Associates Coated Rod Bearings Upgrade(Retail $617)</t>
  </si>
  <si>
    <t>Shroud Blockoff kit</t>
  </si>
  <si>
    <t>993 95 Cyntex Chips -w- FW mod</t>
  </si>
  <si>
    <t>993 EuroVRAM Chips -w- FW mod</t>
  </si>
  <si>
    <t>964 Cyntex Chips -w- Flywheel Stabiliation</t>
  </si>
  <si>
    <t>OBD Connector on 993/963 harness</t>
  </si>
  <si>
    <t>Secondary Air System Cam Tower Plugs 993 (2)</t>
  </si>
  <si>
    <t>964 K&amp;N Cone filter with optomized Carbon/Nylon Adpter</t>
  </si>
  <si>
    <t>OBD Connector on 993/964 harness</t>
  </si>
  <si>
    <t>IG Headers, 304 Stainless, 1-3/4" primary, 2.5" out, with heat</t>
  </si>
  <si>
    <r>
      <t xml:space="preserve">Engine </t>
    </r>
    <r>
      <rPr>
        <b/>
        <sz val="10"/>
        <rFont val="Arial"/>
        <family val="2"/>
      </rPr>
      <t>95 993</t>
    </r>
    <r>
      <rPr>
        <sz val="10"/>
        <rFont val="Arial"/>
        <family val="2"/>
      </rPr>
      <t xml:space="preserve">, 95 DME, Compete rebuild with valve guides. replace all bearings, seals, etc. install all accessories and test.  </t>
    </r>
    <r>
      <rPr>
        <b/>
        <sz val="10"/>
        <rFont val="Arial"/>
        <family val="2"/>
      </rPr>
      <t>Add $750 to update to VRam intake and exhaust valves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</si>
</sst>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2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sz val="10"/>
      <name val="Arial"/>
      <family val="2"/>
    </font>
    <font>
      <b/>
      <sz val="18"/>
      <color indexed="21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1"/>
    </font>
    <font>
      <b/>
      <sz val="12"/>
      <color indexed="18"/>
      <name val="Arial"/>
      <family val="1"/>
    </font>
    <font>
      <b/>
      <sz val="12"/>
      <name val="Arial"/>
      <family val="1"/>
    </font>
    <font>
      <b/>
      <sz val="12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4" applyNumberFormat="0" applyAlignment="0" applyProtection="0"/>
    <xf numFmtId="0" fontId="21" fillId="31" borderId="15" applyNumberFormat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6" borderId="14" applyNumberFormat="0" applyAlignment="0" applyProtection="0"/>
    <xf numFmtId="0" fontId="28" fillId="0" borderId="19" applyNumberFormat="0" applyFill="0" applyAlignment="0" applyProtection="0"/>
    <xf numFmtId="0" fontId="29" fillId="37" borderId="0" applyNumberFormat="0" applyBorder="0" applyAlignment="0" applyProtection="0"/>
    <xf numFmtId="0" fontId="8" fillId="0" borderId="0"/>
    <xf numFmtId="0" fontId="15" fillId="38" borderId="20" applyNumberFormat="0" applyFont="0" applyAlignment="0" applyProtection="0"/>
    <xf numFmtId="0" fontId="30" fillId="30" borderId="21" applyNumberFormat="0" applyAlignment="0" applyProtection="0"/>
    <xf numFmtId="0" fontId="3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3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" fillId="0" borderId="0"/>
    <xf numFmtId="0" fontId="2" fillId="0" borderId="0"/>
    <xf numFmtId="0" fontId="47" fillId="0" borderId="0" applyNumberFormat="0" applyFill="0" applyBorder="0" applyAlignment="0" applyProtection="0"/>
  </cellStyleXfs>
  <cellXfs count="218">
    <xf numFmtId="0" fontId="0" fillId="0" borderId="0" xfId="0"/>
    <xf numFmtId="0" fontId="8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/>
    <xf numFmtId="0" fontId="33" fillId="4" borderId="6" xfId="0" applyFont="1" applyFill="1" applyBorder="1" applyProtection="1">
      <protection locked="0"/>
    </xf>
    <xf numFmtId="0" fontId="33" fillId="3" borderId="0" xfId="0" applyFont="1" applyFill="1"/>
    <xf numFmtId="0" fontId="34" fillId="0" borderId="0" xfId="0" applyFont="1" applyAlignment="1">
      <alignment horizontal="center"/>
    </xf>
    <xf numFmtId="0" fontId="33" fillId="0" borderId="0" xfId="0" applyFont="1"/>
    <xf numFmtId="0" fontId="35" fillId="0" borderId="0" xfId="0" applyFont="1" applyAlignment="1">
      <alignment horizontal="center"/>
    </xf>
    <xf numFmtId="0" fontId="33" fillId="4" borderId="7" xfId="0" applyFont="1" applyFill="1" applyBorder="1" applyProtection="1">
      <protection locked="0"/>
    </xf>
    <xf numFmtId="0" fontId="36" fillId="0" borderId="0" xfId="0" applyFont="1" applyAlignment="1">
      <alignment horizontal="center"/>
    </xf>
    <xf numFmtId="0" fontId="33" fillId="4" borderId="9" xfId="0" applyFont="1" applyFill="1" applyBorder="1" applyProtection="1">
      <protection locked="0"/>
    </xf>
    <xf numFmtId="0" fontId="33" fillId="4" borderId="8" xfId="0" applyFont="1" applyFill="1" applyBorder="1" applyProtection="1">
      <protection locked="0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/>
    <xf numFmtId="0" fontId="33" fillId="0" borderId="0" xfId="0" applyFont="1" applyAlignment="1">
      <alignment wrapText="1"/>
    </xf>
    <xf numFmtId="0" fontId="43" fillId="0" borderId="0" xfId="0" applyFont="1"/>
    <xf numFmtId="0" fontId="33" fillId="0" borderId="2" xfId="0" applyFont="1" applyBorder="1"/>
    <xf numFmtId="0" fontId="42" fillId="40" borderId="0" xfId="0" applyFont="1" applyFill="1" applyAlignment="1">
      <alignment horizontal="left"/>
    </xf>
    <xf numFmtId="0" fontId="43" fillId="0" borderId="0" xfId="0" applyFont="1" applyAlignment="1">
      <alignment wrapText="1"/>
    </xf>
    <xf numFmtId="164" fontId="33" fillId="0" borderId="0" xfId="28" applyNumberFormat="1" applyFont="1"/>
    <xf numFmtId="0" fontId="33" fillId="0" borderId="1" xfId="0" applyFont="1" applyBorder="1"/>
    <xf numFmtId="0" fontId="33" fillId="3" borderId="2" xfId="0" applyFont="1" applyFill="1" applyBorder="1"/>
    <xf numFmtId="164" fontId="33" fillId="0" borderId="0" xfId="28" applyNumberFormat="1" applyFont="1" applyBorder="1"/>
    <xf numFmtId="164" fontId="33" fillId="0" borderId="0" xfId="28" applyNumberFormat="1" applyFont="1" applyFill="1"/>
    <xf numFmtId="0" fontId="33" fillId="4" borderId="2" xfId="0" applyFont="1" applyFill="1" applyBorder="1" applyProtection="1">
      <protection locked="0"/>
    </xf>
    <xf numFmtId="164" fontId="42" fillId="0" borderId="0" xfId="28" applyNumberFormat="1" applyFont="1"/>
    <xf numFmtId="0" fontId="42" fillId="0" borderId="13" xfId="0" applyFont="1" applyBorder="1" applyAlignment="1">
      <alignment wrapText="1"/>
    </xf>
    <xf numFmtId="0" fontId="33" fillId="3" borderId="3" xfId="0" applyFont="1" applyFill="1" applyBorder="1"/>
    <xf numFmtId="0" fontId="33" fillId="0" borderId="3" xfId="0" applyFont="1" applyBorder="1" applyAlignment="1">
      <alignment wrapText="1"/>
    </xf>
    <xf numFmtId="0" fontId="33" fillId="0" borderId="3" xfId="0" applyFont="1" applyBorder="1"/>
    <xf numFmtId="164" fontId="33" fillId="0" borderId="3" xfId="28" applyNumberFormat="1" applyFont="1" applyBorder="1"/>
    <xf numFmtId="164" fontId="33" fillId="0" borderId="4" xfId="28" applyNumberFormat="1" applyFont="1" applyBorder="1"/>
    <xf numFmtId="164" fontId="33" fillId="0" borderId="1" xfId="28" applyNumberFormat="1" applyFont="1" applyFill="1" applyBorder="1"/>
    <xf numFmtId="164" fontId="33" fillId="0" borderId="0" xfId="28" applyNumberFormat="1" applyFont="1" applyFill="1" applyBorder="1"/>
    <xf numFmtId="164" fontId="33" fillId="0" borderId="1" xfId="28" applyNumberFormat="1" applyFont="1" applyBorder="1"/>
    <xf numFmtId="164" fontId="33" fillId="0" borderId="0" xfId="0" applyNumberFormat="1" applyFont="1"/>
    <xf numFmtId="0" fontId="33" fillId="0" borderId="2" xfId="0" applyFont="1" applyBorder="1" applyProtection="1">
      <protection locked="0"/>
    </xf>
    <xf numFmtId="0" fontId="43" fillId="4" borderId="2" xfId="0" applyFont="1" applyFill="1" applyBorder="1" applyProtection="1">
      <protection locked="0"/>
    </xf>
    <xf numFmtId="0" fontId="43" fillId="4" borderId="2" xfId="0" applyFont="1" applyFill="1" applyBorder="1" applyAlignment="1" applyProtection="1">
      <alignment wrapText="1"/>
      <protection locked="0"/>
    </xf>
    <xf numFmtId="0" fontId="33" fillId="4" borderId="0" xfId="0" applyFont="1" applyFill="1" applyProtection="1">
      <protection locked="0"/>
    </xf>
    <xf numFmtId="0" fontId="33" fillId="4" borderId="2" xfId="0" applyFont="1" applyFill="1" applyBorder="1" applyAlignment="1" applyProtection="1">
      <alignment wrapText="1"/>
      <protection locked="0"/>
    </xf>
    <xf numFmtId="0" fontId="42" fillId="0" borderId="13" xfId="0" applyFont="1" applyBorder="1"/>
    <xf numFmtId="164" fontId="43" fillId="0" borderId="4" xfId="0" applyNumberFormat="1" applyFont="1" applyBorder="1"/>
    <xf numFmtId="0" fontId="33" fillId="0" borderId="10" xfId="0" applyFont="1" applyBorder="1"/>
    <xf numFmtId="164" fontId="33" fillId="0" borderId="3" xfId="28" applyNumberFormat="1" applyFont="1" applyFill="1" applyBorder="1"/>
    <xf numFmtId="164" fontId="33" fillId="0" borderId="4" xfId="0" applyNumberFormat="1" applyFont="1" applyBorder="1"/>
    <xf numFmtId="164" fontId="42" fillId="2" borderId="6" xfId="0" applyNumberFormat="1" applyFont="1" applyFill="1" applyBorder="1"/>
    <xf numFmtId="0" fontId="33" fillId="39" borderId="5" xfId="0" applyFont="1" applyFill="1" applyBorder="1"/>
    <xf numFmtId="0" fontId="33" fillId="39" borderId="11" xfId="0" applyFont="1" applyFill="1" applyBorder="1"/>
    <xf numFmtId="0" fontId="33" fillId="39" borderId="12" xfId="0" applyFont="1" applyFill="1" applyBorder="1"/>
    <xf numFmtId="164" fontId="33" fillId="0" borderId="2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/>
    <xf numFmtId="164" fontId="33" fillId="0" borderId="0" xfId="28" applyNumberFormat="1" applyFont="1" applyAlignment="1">
      <alignment wrapText="1"/>
    </xf>
    <xf numFmtId="164" fontId="33" fillId="4" borderId="2" xfId="28" applyNumberFormat="1" applyFont="1" applyFill="1" applyBorder="1" applyProtection="1">
      <protection locked="0"/>
    </xf>
    <xf numFmtId="164" fontId="33" fillId="0" borderId="0" xfId="28" applyNumberFormat="1" applyFont="1" applyFill="1" applyBorder="1" applyProtection="1">
      <protection locked="0"/>
    </xf>
    <xf numFmtId="164" fontId="33" fillId="0" borderId="0" xfId="28" applyNumberFormat="1" applyFont="1" applyFill="1" applyBorder="1" applyProtection="1"/>
    <xf numFmtId="164" fontId="0" fillId="0" borderId="0" xfId="28" applyNumberFormat="1" applyFont="1" applyBorder="1"/>
    <xf numFmtId="164" fontId="8" fillId="0" borderId="0" xfId="28" applyNumberFormat="1" applyFont="1"/>
    <xf numFmtId="164" fontId="0" fillId="0" borderId="0" xfId="28" applyNumberFormat="1" applyFont="1" applyFill="1" applyBorder="1"/>
    <xf numFmtId="0" fontId="7" fillId="40" borderId="0" xfId="0" applyFont="1" applyFill="1" applyAlignment="1">
      <alignment horizontal="left"/>
    </xf>
    <xf numFmtId="0" fontId="8" fillId="0" borderId="0" xfId="0" quotePrefix="1" applyFont="1"/>
    <xf numFmtId="0" fontId="33" fillId="39" borderId="2" xfId="0" applyFont="1" applyFill="1" applyBorder="1" applyProtection="1">
      <protection locked="0"/>
    </xf>
    <xf numFmtId="0" fontId="5" fillId="4" borderId="7" xfId="50" applyFill="1" applyBorder="1" applyProtection="1">
      <protection locked="0"/>
    </xf>
    <xf numFmtId="0" fontId="5" fillId="3" borderId="0" xfId="50" applyFill="1"/>
    <xf numFmtId="0" fontId="9" fillId="0" borderId="0" xfId="50" applyFont="1" applyAlignment="1">
      <alignment horizontal="center"/>
    </xf>
    <xf numFmtId="0" fontId="5" fillId="0" borderId="0" xfId="50"/>
    <xf numFmtId="164" fontId="0" fillId="0" borderId="0" xfId="51" applyNumberFormat="1" applyFont="1"/>
    <xf numFmtId="164" fontId="5" fillId="0" borderId="0" xfId="51" applyNumberFormat="1"/>
    <xf numFmtId="0" fontId="5" fillId="4" borderId="6" xfId="50" applyFill="1" applyBorder="1" applyProtection="1">
      <protection locked="0"/>
    </xf>
    <xf numFmtId="0" fontId="13" fillId="0" borderId="0" xfId="50" applyFont="1" applyAlignment="1">
      <alignment horizontal="center"/>
    </xf>
    <xf numFmtId="0" fontId="14" fillId="0" borderId="0" xfId="50" applyFont="1" applyAlignment="1">
      <alignment horizontal="center"/>
    </xf>
    <xf numFmtId="0" fontId="5" fillId="4" borderId="9" xfId="50" applyFill="1" applyBorder="1" applyProtection="1">
      <protection locked="0"/>
    </xf>
    <xf numFmtId="0" fontId="5" fillId="4" borderId="8" xfId="50" applyFill="1" applyBorder="1" applyProtection="1">
      <protection locked="0"/>
    </xf>
    <xf numFmtId="0" fontId="6" fillId="0" borderId="0" xfId="50" applyFont="1" applyAlignment="1">
      <alignment horizontal="center"/>
    </xf>
    <xf numFmtId="0" fontId="12" fillId="0" borderId="0" xfId="50" applyFont="1" applyAlignment="1">
      <alignment horizontal="center"/>
    </xf>
    <xf numFmtId="0" fontId="7" fillId="0" borderId="0" xfId="50" applyFont="1"/>
    <xf numFmtId="0" fontId="5" fillId="0" borderId="0" xfId="50" applyAlignment="1">
      <alignment wrapText="1"/>
    </xf>
    <xf numFmtId="0" fontId="5" fillId="0" borderId="0" xfId="50" applyAlignment="1">
      <alignment horizontal="center"/>
    </xf>
    <xf numFmtId="0" fontId="5" fillId="39" borderId="2" xfId="50" applyFill="1" applyBorder="1" applyProtection="1">
      <protection locked="0"/>
    </xf>
    <xf numFmtId="164" fontId="5" fillId="0" borderId="0" xfId="51" applyNumberFormat="1" applyFont="1"/>
    <xf numFmtId="0" fontId="5" fillId="0" borderId="1" xfId="50" applyBorder="1"/>
    <xf numFmtId="164" fontId="5" fillId="0" borderId="0" xfId="50" applyNumberFormat="1"/>
    <xf numFmtId="0" fontId="5" fillId="0" borderId="2" xfId="50" applyBorder="1" applyProtection="1">
      <protection hidden="1"/>
    </xf>
    <xf numFmtId="0" fontId="5" fillId="4" borderId="2" xfId="50" applyFill="1" applyBorder="1" applyProtection="1">
      <protection locked="0"/>
    </xf>
    <xf numFmtId="0" fontId="5" fillId="4" borderId="0" xfId="50" applyFill="1" applyProtection="1">
      <protection locked="0"/>
    </xf>
    <xf numFmtId="164" fontId="5" fillId="0" borderId="0" xfId="51" applyNumberFormat="1" applyFill="1"/>
    <xf numFmtId="164" fontId="7" fillId="0" borderId="0" xfId="51" applyNumberFormat="1" applyFont="1"/>
    <xf numFmtId="164" fontId="0" fillId="0" borderId="0" xfId="51" applyNumberFormat="1" applyFont="1" applyBorder="1"/>
    <xf numFmtId="164" fontId="5" fillId="0" borderId="0" xfId="51" applyNumberFormat="1" applyBorder="1"/>
    <xf numFmtId="0" fontId="5" fillId="0" borderId="13" xfId="50" applyBorder="1" applyAlignment="1">
      <alignment wrapText="1"/>
    </xf>
    <xf numFmtId="0" fontId="5" fillId="3" borderId="3" xfId="50" applyFill="1" applyBorder="1"/>
    <xf numFmtId="0" fontId="5" fillId="0" borderId="3" xfId="50" applyBorder="1" applyAlignment="1">
      <alignment wrapText="1"/>
    </xf>
    <xf numFmtId="0" fontId="5" fillId="0" borderId="3" xfId="50" applyBorder="1"/>
    <xf numFmtId="164" fontId="0" fillId="0" borderId="3" xfId="51" applyNumberFormat="1" applyFont="1" applyBorder="1"/>
    <xf numFmtId="164" fontId="0" fillId="4" borderId="2" xfId="51" applyNumberFormat="1" applyFont="1" applyFill="1" applyBorder="1" applyProtection="1">
      <protection locked="0"/>
    </xf>
    <xf numFmtId="164" fontId="5" fillId="0" borderId="0" xfId="51" applyNumberFormat="1" applyFill="1" applyBorder="1"/>
    <xf numFmtId="0" fontId="5" fillId="0" borderId="13" xfId="50" applyBorder="1"/>
    <xf numFmtId="164" fontId="5" fillId="0" borderId="3" xfId="51" applyNumberFormat="1" applyBorder="1"/>
    <xf numFmtId="164" fontId="7" fillId="2" borderId="6" xfId="50" applyNumberFormat="1" applyFont="1" applyFill="1" applyBorder="1"/>
    <xf numFmtId="165" fontId="33" fillId="41" borderId="6" xfId="53" applyNumberFormat="1" applyFont="1" applyFill="1" applyBorder="1"/>
    <xf numFmtId="0" fontId="5" fillId="4" borderId="6" xfId="0" applyFont="1" applyFill="1" applyBorder="1" applyProtection="1">
      <protection locked="0"/>
    </xf>
    <xf numFmtId="164" fontId="7" fillId="0" borderId="0" xfId="51" quotePrefix="1" applyNumberFormat="1" applyFont="1" applyAlignment="1">
      <alignment horizontal="center"/>
    </xf>
    <xf numFmtId="164" fontId="7" fillId="0" borderId="0" xfId="51" applyNumberFormat="1" applyFont="1" applyAlignment="1">
      <alignment horizontal="center"/>
    </xf>
    <xf numFmtId="0" fontId="5" fillId="0" borderId="0" xfId="50" applyAlignment="1">
      <alignment horizontal="center" wrapText="1"/>
    </xf>
    <xf numFmtId="164" fontId="0" fillId="0" borderId="0" xfId="51" applyNumberFormat="1" applyFont="1" applyFill="1"/>
    <xf numFmtId="0" fontId="7" fillId="0" borderId="0" xfId="50" applyFont="1" applyAlignment="1">
      <alignment horizontal="center" vertical="center" wrapText="1"/>
    </xf>
    <xf numFmtId="164" fontId="0" fillId="42" borderId="3" xfId="51" applyNumberFormat="1" applyFont="1" applyFill="1" applyBorder="1"/>
    <xf numFmtId="164" fontId="5" fillId="42" borderId="4" xfId="50" applyNumberFormat="1" applyFill="1" applyBorder="1"/>
    <xf numFmtId="0" fontId="5" fillId="0" borderId="0" xfId="0" quotePrefix="1" applyFont="1"/>
    <xf numFmtId="0" fontId="33" fillId="3" borderId="5" xfId="0" applyFont="1" applyFill="1" applyBorder="1"/>
    <xf numFmtId="164" fontId="33" fillId="0" borderId="2" xfId="28" applyNumberFormat="1" applyFont="1" applyBorder="1"/>
    <xf numFmtId="0" fontId="0" fillId="0" borderId="24" xfId="0" applyBorder="1"/>
    <xf numFmtId="0" fontId="5" fillId="0" borderId="10" xfId="0" applyFont="1" applyBorder="1" applyAlignment="1">
      <alignment wrapText="1"/>
    </xf>
    <xf numFmtId="0" fontId="0" fillId="0" borderId="10" xfId="0" applyBorder="1"/>
    <xf numFmtId="0" fontId="0" fillId="0" borderId="24" xfId="0" applyBorder="1" applyAlignment="1">
      <alignment wrapText="1"/>
    </xf>
    <xf numFmtId="0" fontId="33" fillId="0" borderId="24" xfId="0" applyFont="1" applyBorder="1"/>
    <xf numFmtId="0" fontId="8" fillId="0" borderId="24" xfId="0" applyFont="1" applyBorder="1" applyAlignment="1">
      <alignment wrapText="1"/>
    </xf>
    <xf numFmtId="0" fontId="5" fillId="4" borderId="31" xfId="0" applyFont="1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164" fontId="0" fillId="0" borderId="24" xfId="28" applyNumberFormat="1" applyFont="1" applyBorder="1"/>
    <xf numFmtId="164" fontId="33" fillId="0" borderId="25" xfId="28" applyNumberFormat="1" applyFont="1" applyFill="1" applyBorder="1"/>
    <xf numFmtId="164" fontId="0" fillId="0" borderId="10" xfId="28" applyNumberFormat="1" applyFont="1" applyFill="1" applyBorder="1"/>
    <xf numFmtId="164" fontId="33" fillId="0" borderId="29" xfId="28" applyNumberFormat="1" applyFont="1" applyFill="1" applyBorder="1"/>
    <xf numFmtId="164" fontId="33" fillId="0" borderId="27" xfId="28" applyNumberFormat="1" applyFont="1" applyFill="1" applyBorder="1"/>
    <xf numFmtId="0" fontId="0" fillId="4" borderId="1" xfId="0" applyFill="1" applyBorder="1" applyProtection="1">
      <protection locked="0"/>
    </xf>
    <xf numFmtId="0" fontId="0" fillId="4" borderId="10" xfId="0" applyFill="1" applyBorder="1" applyProtection="1">
      <protection locked="0"/>
    </xf>
    <xf numFmtId="164" fontId="0" fillId="0" borderId="0" xfId="28" applyNumberFormat="1" applyFont="1" applyFill="1" applyBorder="1" applyProtection="1"/>
    <xf numFmtId="164" fontId="0" fillId="0" borderId="0" xfId="28" applyNumberFormat="1" applyFont="1" applyFill="1" applyBorder="1" applyAlignment="1" applyProtection="1">
      <alignment wrapText="1"/>
    </xf>
    <xf numFmtId="0" fontId="5" fillId="0" borderId="23" xfId="0" applyFont="1" applyBorder="1" applyAlignment="1">
      <alignment wrapText="1"/>
    </xf>
    <xf numFmtId="164" fontId="33" fillId="0" borderId="24" xfId="28" applyNumberFormat="1" applyFont="1" applyFill="1" applyBorder="1" applyProtection="1"/>
    <xf numFmtId="0" fontId="8" fillId="0" borderId="2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64" fontId="0" fillId="0" borderId="10" xfId="28" applyNumberFormat="1" applyFont="1" applyFill="1" applyBorder="1" applyProtection="1"/>
    <xf numFmtId="164" fontId="0" fillId="0" borderId="24" xfId="28" applyNumberFormat="1" applyFont="1" applyFill="1" applyBorder="1" applyAlignment="1" applyProtection="1">
      <alignment wrapText="1"/>
    </xf>
    <xf numFmtId="164" fontId="0" fillId="0" borderId="10" xfId="28" applyNumberFormat="1" applyFont="1" applyFill="1" applyBorder="1" applyAlignment="1" applyProtection="1">
      <alignment wrapText="1"/>
    </xf>
    <xf numFmtId="164" fontId="0" fillId="0" borderId="24" xfId="28" applyNumberFormat="1" applyFont="1" applyFill="1" applyBorder="1" applyProtection="1"/>
    <xf numFmtId="0" fontId="5" fillId="0" borderId="28" xfId="0" applyFont="1" applyBorder="1" applyAlignment="1">
      <alignment wrapText="1"/>
    </xf>
    <xf numFmtId="0" fontId="33" fillId="0" borderId="23" xfId="0" applyFont="1" applyBorder="1"/>
    <xf numFmtId="0" fontId="0" fillId="4" borderId="34" xfId="0" applyFill="1" applyBorder="1" applyProtection="1">
      <protection locked="0"/>
    </xf>
    <xf numFmtId="0" fontId="43" fillId="0" borderId="24" xfId="0" applyFont="1" applyBorder="1" applyAlignment="1">
      <alignment wrapText="1"/>
    </xf>
    <xf numFmtId="164" fontId="33" fillId="0" borderId="24" xfId="28" applyNumberFormat="1" applyFont="1" applyFill="1" applyBorder="1" applyProtection="1">
      <protection locked="0"/>
    </xf>
    <xf numFmtId="164" fontId="33" fillId="0" borderId="25" xfId="28" applyNumberFormat="1" applyFont="1" applyFill="1" applyBorder="1" applyProtection="1"/>
    <xf numFmtId="0" fontId="33" fillId="0" borderId="26" xfId="0" applyFont="1" applyBorder="1"/>
    <xf numFmtId="164" fontId="33" fillId="0" borderId="27" xfId="28" applyNumberFormat="1" applyFont="1" applyFill="1" applyBorder="1" applyProtection="1"/>
    <xf numFmtId="0" fontId="33" fillId="0" borderId="28" xfId="0" applyFont="1" applyBorder="1"/>
    <xf numFmtId="0" fontId="33" fillId="0" borderId="35" xfId="0" applyFont="1" applyBorder="1" applyProtection="1">
      <protection locked="0"/>
    </xf>
    <xf numFmtId="0" fontId="43" fillId="0" borderId="10" xfId="0" applyFont="1" applyBorder="1" applyAlignment="1">
      <alignment wrapText="1"/>
    </xf>
    <xf numFmtId="164" fontId="33" fillId="0" borderId="10" xfId="28" applyNumberFormat="1" applyFont="1" applyFill="1" applyBorder="1" applyProtection="1">
      <protection locked="0"/>
    </xf>
    <xf numFmtId="164" fontId="33" fillId="0" borderId="29" xfId="28" applyNumberFormat="1" applyFont="1" applyFill="1" applyBorder="1" applyProtection="1"/>
    <xf numFmtId="0" fontId="33" fillId="0" borderId="5" xfId="0" applyFont="1" applyBorder="1"/>
    <xf numFmtId="0" fontId="2" fillId="0" borderId="0" xfId="55"/>
    <xf numFmtId="0" fontId="2" fillId="0" borderId="0" xfId="55" applyAlignment="1">
      <alignment wrapText="1"/>
    </xf>
    <xf numFmtId="0" fontId="2" fillId="0" borderId="3" xfId="55" applyBorder="1" applyAlignment="1">
      <alignment horizontal="center" vertical="center" wrapText="1"/>
    </xf>
    <xf numFmtId="0" fontId="2" fillId="0" borderId="7" xfId="55" applyBorder="1" applyAlignment="1">
      <alignment horizontal="center"/>
    </xf>
    <xf numFmtId="0" fontId="2" fillId="0" borderId="23" xfId="55" applyBorder="1" applyAlignment="1">
      <alignment horizontal="center" vertical="center"/>
    </xf>
    <xf numFmtId="0" fontId="2" fillId="0" borderId="24" xfId="55" applyBorder="1" applyAlignment="1">
      <alignment horizontal="center" vertical="center"/>
    </xf>
    <xf numFmtId="0" fontId="2" fillId="0" borderId="25" xfId="55" applyBorder="1" applyAlignment="1">
      <alignment horizontal="center" vertical="center"/>
    </xf>
    <xf numFmtId="0" fontId="2" fillId="0" borderId="26" xfId="55" applyBorder="1" applyAlignment="1">
      <alignment horizontal="center" vertical="center"/>
    </xf>
    <xf numFmtId="0" fontId="2" fillId="0" borderId="9" xfId="55" applyBorder="1" applyAlignment="1">
      <alignment horizontal="center"/>
    </xf>
    <xf numFmtId="0" fontId="2" fillId="0" borderId="0" xfId="55" applyAlignment="1">
      <alignment horizontal="center" vertical="center"/>
    </xf>
    <xf numFmtId="0" fontId="2" fillId="0" borderId="27" xfId="55" applyBorder="1" applyAlignment="1">
      <alignment horizontal="center" vertical="center"/>
    </xf>
    <xf numFmtId="0" fontId="2" fillId="0" borderId="27" xfId="55" quotePrefix="1" applyBorder="1" applyAlignment="1">
      <alignment horizontal="center" vertical="center"/>
    </xf>
    <xf numFmtId="0" fontId="5" fillId="0" borderId="0" xfId="50" applyAlignment="1">
      <alignment horizontal="center" vertical="center"/>
    </xf>
    <xf numFmtId="0" fontId="2" fillId="44" borderId="26" xfId="55" applyFill="1" applyBorder="1" applyAlignment="1">
      <alignment wrapText="1"/>
    </xf>
    <xf numFmtId="0" fontId="2" fillId="0" borderId="8" xfId="55" applyBorder="1" applyAlignment="1">
      <alignment horizontal="center"/>
    </xf>
    <xf numFmtId="0" fontId="2" fillId="0" borderId="28" xfId="55" applyBorder="1" applyAlignment="1">
      <alignment horizontal="center" vertical="center"/>
    </xf>
    <xf numFmtId="0" fontId="2" fillId="0" borderId="10" xfId="55" applyBorder="1" applyAlignment="1">
      <alignment horizontal="center" vertical="center"/>
    </xf>
    <xf numFmtId="0" fontId="2" fillId="0" borderId="29" xfId="55" applyBorder="1" applyAlignment="1">
      <alignment horizontal="center" vertical="center"/>
    </xf>
    <xf numFmtId="0" fontId="2" fillId="0" borderId="26" xfId="55" applyBorder="1" applyAlignment="1">
      <alignment horizontal="center" vertical="center" wrapText="1"/>
    </xf>
    <xf numFmtId="0" fontId="2" fillId="0" borderId="0" xfId="55" applyAlignment="1">
      <alignment horizontal="center" vertical="center" wrapText="1"/>
    </xf>
    <xf numFmtId="0" fontId="2" fillId="0" borderId="23" xfId="55" applyBorder="1"/>
    <xf numFmtId="0" fontId="2" fillId="0" borderId="7" xfId="55" applyBorder="1" applyAlignment="1">
      <alignment wrapText="1"/>
    </xf>
    <xf numFmtId="0" fontId="2" fillId="0" borderId="7" xfId="55" applyBorder="1" applyAlignment="1">
      <alignment horizontal="center" wrapText="1"/>
    </xf>
    <xf numFmtId="0" fontId="2" fillId="0" borderId="23" xfId="55" applyBorder="1" applyAlignment="1">
      <alignment horizontal="center" vertical="center" wrapText="1"/>
    </xf>
    <xf numFmtId="0" fontId="2" fillId="0" borderId="24" xfId="55" applyBorder="1" applyAlignment="1">
      <alignment horizontal="center" vertical="center" wrapText="1"/>
    </xf>
    <xf numFmtId="0" fontId="2" fillId="0" borderId="25" xfId="55" applyBorder="1" applyAlignment="1">
      <alignment horizontal="center" vertical="center" wrapText="1"/>
    </xf>
    <xf numFmtId="0" fontId="2" fillId="0" borderId="13" xfId="55" applyBorder="1" applyAlignment="1">
      <alignment horizontal="center" vertical="center" wrapText="1"/>
    </xf>
    <xf numFmtId="164" fontId="2" fillId="0" borderId="24" xfId="28" applyNumberFormat="1" applyFont="1" applyBorder="1" applyAlignment="1">
      <alignment horizontal="center" vertical="center" wrapText="1"/>
    </xf>
    <xf numFmtId="164" fontId="2" fillId="0" borderId="0" xfId="28" applyNumberFormat="1" applyFont="1" applyBorder="1" applyAlignment="1">
      <alignment horizontal="center" vertical="center" wrapText="1"/>
    </xf>
    <xf numFmtId="0" fontId="46" fillId="43" borderId="23" xfId="55" applyFont="1" applyFill="1" applyBorder="1" applyAlignment="1">
      <alignment horizontal="center" vertical="center"/>
    </xf>
    <xf numFmtId="164" fontId="2" fillId="0" borderId="27" xfId="28" applyNumberFormat="1" applyFont="1" applyBorder="1" applyAlignment="1">
      <alignment horizontal="center" vertical="center" wrapText="1"/>
    </xf>
    <xf numFmtId="0" fontId="2" fillId="42" borderId="26" xfId="55" applyFill="1" applyBorder="1" applyAlignment="1">
      <alignment horizontal="center" vertical="center" wrapText="1"/>
    </xf>
    <xf numFmtId="0" fontId="46" fillId="45" borderId="23" xfId="55" applyFont="1" applyFill="1" applyBorder="1" applyAlignment="1">
      <alignment horizontal="center" vertical="center"/>
    </xf>
    <xf numFmtId="0" fontId="2" fillId="0" borderId="28" xfId="55" applyBorder="1" applyAlignment="1">
      <alignment horizontal="center" vertical="center" wrapText="1"/>
    </xf>
    <xf numFmtId="0" fontId="2" fillId="0" borderId="10" xfId="55" applyBorder="1" applyAlignment="1">
      <alignment horizontal="center" vertical="center" wrapText="1"/>
    </xf>
    <xf numFmtId="164" fontId="2" fillId="0" borderId="10" xfId="28" applyNumberFormat="1" applyFont="1" applyBorder="1" applyAlignment="1">
      <alignment horizontal="center" vertical="center" wrapText="1"/>
    </xf>
    <xf numFmtId="164" fontId="2" fillId="0" borderId="29" xfId="28" applyNumberFormat="1" applyFont="1" applyBorder="1" applyAlignment="1">
      <alignment horizontal="center" vertical="center" wrapText="1"/>
    </xf>
    <xf numFmtId="164" fontId="2" fillId="0" borderId="0" xfId="55" applyNumberFormat="1" applyAlignment="1">
      <alignment horizontal="center" vertical="center" wrapText="1"/>
    </xf>
    <xf numFmtId="0" fontId="1" fillId="0" borderId="0" xfId="55" applyFont="1"/>
    <xf numFmtId="0" fontId="47" fillId="0" borderId="23" xfId="56" applyBorder="1" applyAlignment="1">
      <alignment wrapText="1"/>
    </xf>
    <xf numFmtId="0" fontId="47" fillId="0" borderId="26" xfId="56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7" fillId="0" borderId="0" xfId="51" quotePrefix="1" applyNumberFormat="1" applyFont="1" applyAlignment="1">
      <alignment horizontal="center"/>
    </xf>
    <xf numFmtId="164" fontId="7" fillId="0" borderId="0" xfId="51" applyNumberFormat="1" applyFont="1" applyAlignment="1">
      <alignment horizontal="center"/>
    </xf>
    <xf numFmtId="0" fontId="2" fillId="0" borderId="23" xfId="55" applyBorder="1" applyAlignment="1">
      <alignment horizontal="center" vertical="center"/>
    </xf>
    <xf numFmtId="0" fontId="2" fillId="0" borderId="24" xfId="55" applyBorder="1" applyAlignment="1">
      <alignment horizontal="center" vertical="center"/>
    </xf>
    <xf numFmtId="0" fontId="2" fillId="0" borderId="25" xfId="55" applyBorder="1" applyAlignment="1">
      <alignment horizontal="center" vertical="center"/>
    </xf>
    <xf numFmtId="0" fontId="2" fillId="0" borderId="23" xfId="55" applyBorder="1" applyAlignment="1">
      <alignment horizontal="center" vertical="center" wrapText="1"/>
    </xf>
    <xf numFmtId="0" fontId="2" fillId="0" borderId="28" xfId="55" applyBorder="1" applyAlignment="1">
      <alignment horizontal="center" vertical="center" wrapText="1"/>
    </xf>
    <xf numFmtId="0" fontId="2" fillId="0" borderId="24" xfId="55" applyBorder="1" applyAlignment="1">
      <alignment horizontal="center" vertical="center" wrapText="1"/>
    </xf>
    <xf numFmtId="0" fontId="2" fillId="0" borderId="10" xfId="55" applyBorder="1" applyAlignment="1">
      <alignment horizontal="center" vertical="center" wrapText="1"/>
    </xf>
    <xf numFmtId="0" fontId="2" fillId="0" borderId="25" xfId="55" applyBorder="1" applyAlignment="1">
      <alignment horizontal="center" vertical="center" wrapText="1"/>
    </xf>
    <xf numFmtId="0" fontId="2" fillId="0" borderId="29" xfId="55" applyBorder="1" applyAlignment="1">
      <alignment horizontal="center" vertical="center" wrapText="1"/>
    </xf>
  </cellXfs>
  <cellStyles count="57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73668DA0-EBD1-42C4-A445-6F1DAE4FE2AD}"/>
    <cellStyle name="Comma 3" xfId="30" xr:uid="{00000000-0005-0000-0000-00001D000000}"/>
    <cellStyle name="Comma 3 2" xfId="48" xr:uid="{5BA0A68C-A95E-4557-BB07-093812E6FC6D}"/>
    <cellStyle name="Comma 3 2 2" xfId="51" xr:uid="{C8E7F149-B307-4907-84A3-AFBC863F39E6}"/>
    <cellStyle name="Currency" xfId="53" builtinId="4"/>
    <cellStyle name="Emphasis 1" xfId="31" xr:uid="{00000000-0005-0000-0000-00001E000000}"/>
    <cellStyle name="Emphasis 2" xfId="32" xr:uid="{00000000-0005-0000-0000-00001F000000}"/>
    <cellStyle name="Emphasis 3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6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 xr:uid="{00000000-0005-0000-0000-00002B000000}"/>
    <cellStyle name="Normal 2 2" xfId="50" xr:uid="{163F6FF1-F182-41FE-BC83-B4F88083B44F}"/>
    <cellStyle name="Normal 3" xfId="49" xr:uid="{90ED6AE8-7454-4D79-B82A-527BB2D13BAC}"/>
    <cellStyle name="Normal 3 2" xfId="54" xr:uid="{E95DB815-823A-4F23-B047-89D1DBA52E05}"/>
    <cellStyle name="Normal 3 2 2" xfId="55" xr:uid="{761274B2-2162-4B14-BEB7-B14C554D0ABE}"/>
    <cellStyle name="Note" xfId="43" builtinId="10" customBuiltin="1"/>
    <cellStyle name="Output" xfId="44" builtinId="21" customBuiltin="1"/>
    <cellStyle name="Sheet Title" xfId="45" xr:uid="{00000000-0005-0000-0000-00002E000000}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17/10/relationships/person" Target="persons/perso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3409950</xdr:colOff>
      <xdr:row>0</xdr:row>
      <xdr:rowOff>9526</xdr:rowOff>
    </xdr:from>
    <xdr:to>
      <xdr:col>9</xdr:col>
      <xdr:colOff>476249</xdr:colOff>
      <xdr:row>7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2295D62-93DA-45D8-A8B1-91B99250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350" y="9526"/>
          <a:ext cx="2374899" cy="145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2101851</xdr:colOff>
      <xdr:row>10</xdr:row>
      <xdr:rowOff>127000</xdr:rowOff>
    </xdr:from>
    <xdr:to>
      <xdr:col>10</xdr:col>
      <xdr:colOff>76201</xdr:colOff>
      <xdr:row>23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0B78D6-D959-4CCF-A962-D8ED5FFD887B}"/>
            </a:ext>
          </a:extLst>
        </xdr:cNvPr>
        <xdr:cNvSpPr txBox="1"/>
      </xdr:nvSpPr>
      <xdr:spPr>
        <a:xfrm>
          <a:off x="3825876" y="2012950"/>
          <a:ext cx="3727450" cy="2101850"/>
        </a:xfrm>
        <a:prstGeom prst="rect">
          <a:avLst/>
        </a:prstGeom>
        <a:solidFill>
          <a:schemeClr val="lt1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rgbClr val="FF0000"/>
              </a:solidFill>
            </a:rPr>
            <a:t>Note: Pricing Current as of 4/20/24. Market changing rapidly</a:t>
          </a:r>
          <a:r>
            <a:rPr lang="en-US" sz="1800" baseline="0">
              <a:solidFill>
                <a:srgbClr val="FF0000"/>
              </a:solidFill>
            </a:rPr>
            <a:t> and all engines are extremely limited inventory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28575</xdr:rowOff>
    </xdr:from>
    <xdr:to>
      <xdr:col>9</xdr:col>
      <xdr:colOff>514350</xdr:colOff>
      <xdr:row>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9CAFC0-D70A-4680-A951-6873980F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8575"/>
          <a:ext cx="1933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4385f883b2aa71/IG/36Conversions/2022-InProcess/Mark%20Woodside/Woodside-VRamCams-R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Backups\OneDrive-SJT-Personal-2019-11-18\IG\Rebuilds\Carrera3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/IG/Bowman/MASTER-GrantBuild-R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NSULT\Porsche%20Parts+Repair\Rodney%20Baltaz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version Kit"/>
      <sheetName val="993-3.6-RSVram Details"/>
    </sheetNames>
    <sheetDataSet>
      <sheetData sheetId="0">
        <row r="117">
          <cell r="K117">
            <v>9060.5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pEnd"/>
      <sheetName val="TopEnd PLus ARP-Rod+Bearings"/>
      <sheetName val="Full R PLus ARP-Rod+Bearing"/>
    </sheetNames>
    <sheetDataSet>
      <sheetData sheetId="0">
        <row r="11">
          <cell r="L11">
            <v>165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mission Final"/>
      <sheetName val="Conversion G50"/>
      <sheetName val="Complete Bore Big Runner"/>
      <sheetName val="Misc"/>
      <sheetName val="Schedule"/>
      <sheetName val="Summary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>
            <v>0</v>
          </cell>
          <cell r="H2" t="str">
            <v>TBD or not yet needed</v>
          </cell>
        </row>
        <row r="3">
          <cell r="G3">
            <v>1</v>
          </cell>
          <cell r="H3" t="str">
            <v>Instock at Vendor</v>
          </cell>
        </row>
        <row r="4">
          <cell r="G4">
            <v>2</v>
          </cell>
          <cell r="H4" t="str">
            <v>In Stock</v>
          </cell>
        </row>
        <row r="5">
          <cell r="G5">
            <v>3</v>
          </cell>
          <cell r="H5" t="str">
            <v>In Stock Photo</v>
          </cell>
        </row>
        <row r="6">
          <cell r="G6">
            <v>4</v>
          </cell>
          <cell r="H6" t="str">
            <v>In Process @ Machine</v>
          </cell>
        </row>
        <row r="7">
          <cell r="G7">
            <v>5</v>
          </cell>
          <cell r="H7" t="str">
            <v>In Process @ Rebuilder</v>
          </cell>
        </row>
        <row r="8">
          <cell r="G8">
            <v>6</v>
          </cell>
          <cell r="H8" t="str">
            <v>In Process@ Bodymotion</v>
          </cell>
        </row>
        <row r="9">
          <cell r="G9">
            <v>-1</v>
          </cell>
          <cell r="H9" t="str">
            <v>To Be Ordered or Completed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dium"/>
      <sheetName val="Bill1"/>
      <sheetName val="Bill2"/>
      <sheetName val="Sheet1"/>
      <sheetName val="Bill2 (2)"/>
      <sheetName val="SuspSetup (3)"/>
      <sheetName val="SuspSetup (4)"/>
      <sheetName val="Bill2 (3)"/>
      <sheetName val="Tires"/>
      <sheetName val="Tires (2)"/>
      <sheetName val="Tires (3)"/>
      <sheetName val="AxlesAirDamPlugs"/>
      <sheetName val="Transmission CLutch"/>
      <sheetName val="BrakesTires"/>
    </sheetNames>
    <sheetDataSet>
      <sheetData sheetId="0"/>
      <sheetData sheetId="1"/>
      <sheetData sheetId="2"/>
      <sheetData sheetId="3">
        <row r="17">
          <cell r="F17">
            <v>3066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nnline.com/porsche/993/engine/valve-cover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rennline.com/porsche/993/engine/valve-covers/" TargetMode="External"/><Relationship Id="rId1" Type="http://schemas.openxmlformats.org/officeDocument/2006/relationships/hyperlink" Target="https://www.instant-g.com/products/36-conversions/36-engine-information/993-lifter-issue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elicanparts.com/More_Info/99310314715.htm?pn=993-103-147-15-M987" TargetMode="External"/><Relationship Id="rId4" Type="http://schemas.openxmlformats.org/officeDocument/2006/relationships/hyperlink" Target="https://www.instant-g.com/products/36-conversions/36-engine-information/cam-box-washer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7B39-7CEF-4632-8E1F-CD275B60BC01}">
  <sheetPr>
    <pageSetUpPr fitToPage="1"/>
  </sheetPr>
  <dimension ref="A1:M182"/>
  <sheetViews>
    <sheetView tabSelected="1" zoomScaleNormal="100" workbookViewId="0">
      <selection activeCell="B18" sqref="B18"/>
    </sheetView>
  </sheetViews>
  <sheetFormatPr defaultColWidth="9.1796875" defaultRowHeight="12.5" x14ac:dyDescent="0.25"/>
  <cols>
    <col min="1" max="1" width="21.81640625" style="8" customWidth="1"/>
    <col min="2" max="2" width="4" style="6" customWidth="1"/>
    <col min="3" max="3" width="56.7265625" style="17" customWidth="1"/>
    <col min="4" max="6" width="5.54296875" style="8" hidden="1" customWidth="1"/>
    <col min="7" max="7" width="8.81640625" style="8" hidden="1" customWidth="1"/>
    <col min="8" max="8" width="10" style="22" bestFit="1" customWidth="1"/>
    <col min="9" max="9" width="9.26953125" style="22" bestFit="1" customWidth="1"/>
    <col min="10" max="10" width="10.26953125" style="22" bestFit="1" customWidth="1"/>
    <col min="11" max="11" width="10.26953125" style="8" bestFit="1" customWidth="1"/>
    <col min="12" max="16384" width="9.1796875" style="8"/>
  </cols>
  <sheetData>
    <row r="1" spans="1:10" ht="22.5" thickBot="1" x14ac:dyDescent="0.45">
      <c r="A1" s="104" t="s">
        <v>103</v>
      </c>
      <c r="C1" s="7" t="s">
        <v>29</v>
      </c>
    </row>
    <row r="2" spans="1:10" ht="13" thickBot="1" x14ac:dyDescent="0.3">
      <c r="A2" s="5">
        <v>1983</v>
      </c>
      <c r="C2" s="9" t="s">
        <v>30</v>
      </c>
    </row>
    <row r="3" spans="1:10" ht="13" x14ac:dyDescent="0.3">
      <c r="A3" s="10" t="s">
        <v>42</v>
      </c>
      <c r="C3" s="11" t="s">
        <v>31</v>
      </c>
    </row>
    <row r="4" spans="1:10" ht="13" x14ac:dyDescent="0.3">
      <c r="A4" s="12" t="s">
        <v>92</v>
      </c>
      <c r="C4" s="11" t="s">
        <v>13</v>
      </c>
    </row>
    <row r="5" spans="1:10" ht="13.5" thickBot="1" x14ac:dyDescent="0.35">
      <c r="A5" s="13" t="s">
        <v>43</v>
      </c>
      <c r="C5" s="11" t="s">
        <v>32</v>
      </c>
    </row>
    <row r="6" spans="1:10" ht="13.5" thickBot="1" x14ac:dyDescent="0.35">
      <c r="A6" s="13" t="s">
        <v>40</v>
      </c>
      <c r="C6" s="11" t="s">
        <v>33</v>
      </c>
    </row>
    <row r="7" spans="1:10" ht="16" thickBot="1" x14ac:dyDescent="0.4">
      <c r="A7" s="5" t="s">
        <v>41</v>
      </c>
      <c r="C7" s="14" t="s">
        <v>98</v>
      </c>
    </row>
    <row r="8" spans="1:10" ht="15.5" thickBot="1" x14ac:dyDescent="0.35">
      <c r="C8" s="15" t="s">
        <v>35</v>
      </c>
    </row>
    <row r="9" spans="1:10" ht="13.5" thickBot="1" x14ac:dyDescent="0.35">
      <c r="A9" s="16" t="s">
        <v>85</v>
      </c>
      <c r="J9" s="103">
        <f>K182</f>
        <v>3575</v>
      </c>
    </row>
    <row r="11" spans="1:10" ht="13" x14ac:dyDescent="0.3">
      <c r="A11" s="4" t="s">
        <v>120</v>
      </c>
      <c r="B11" s="19" t="str">
        <f>IF($A$2&gt;1973,"",1)</f>
        <v/>
      </c>
      <c r="C11" s="20" t="s">
        <v>79</v>
      </c>
      <c r="E11" s="61" t="s">
        <v>132</v>
      </c>
      <c r="F11" s="8" t="str">
        <f>IF(SUM(B11:B13)&gt;0,"915","G50")</f>
        <v>915</v>
      </c>
    </row>
    <row r="12" spans="1:10" ht="13" x14ac:dyDescent="0.3">
      <c r="B12" s="19">
        <f>IF(AND(Year&gt;1974,Year&lt;1984),1,"")</f>
        <v>1</v>
      </c>
      <c r="C12" s="63" t="s">
        <v>189</v>
      </c>
      <c r="E12" s="61" t="s">
        <v>121</v>
      </c>
      <c r="F12" s="61" t="str">
        <f>VLOOKUP(1,EngineType,3,FALSE)</f>
        <v>95</v>
      </c>
    </row>
    <row r="13" spans="1:10" ht="13" x14ac:dyDescent="0.3">
      <c r="B13" s="19" t="str">
        <f>IF(AND(Year&gt;1983,Year&lt;1987),1,"")</f>
        <v/>
      </c>
      <c r="C13" s="20" t="s">
        <v>77</v>
      </c>
      <c r="E13" s="61" t="s">
        <v>131</v>
      </c>
      <c r="F13" s="22" t="str">
        <f>VLOOKUP(1,B22:D25,3,FALSE)</f>
        <v>CUST</v>
      </c>
    </row>
    <row r="14" spans="1:10" ht="13" x14ac:dyDescent="0.3">
      <c r="B14" s="19" t="str">
        <f>IF(AND(Year&gt;1986,Year&lt;1990),1,"")</f>
        <v/>
      </c>
      <c r="C14" s="20" t="s">
        <v>78</v>
      </c>
      <c r="E14" s="22"/>
      <c r="F14" s="22"/>
    </row>
    <row r="15" spans="1:10" ht="13" x14ac:dyDescent="0.3">
      <c r="B15" s="8"/>
      <c r="C15" s="20"/>
      <c r="E15" s="22"/>
      <c r="F15" s="22"/>
    </row>
    <row r="16" spans="1:10" ht="13" x14ac:dyDescent="0.3">
      <c r="B16" s="65"/>
      <c r="C16" s="63" t="s">
        <v>181</v>
      </c>
      <c r="D16" s="112" t="s">
        <v>182</v>
      </c>
      <c r="E16" s="22"/>
      <c r="F16" s="61"/>
    </row>
    <row r="17" spans="1:13" ht="13" x14ac:dyDescent="0.3">
      <c r="A17" s="4" t="s">
        <v>121</v>
      </c>
      <c r="B17" s="65">
        <v>1</v>
      </c>
      <c r="C17" s="63" t="s">
        <v>122</v>
      </c>
      <c r="D17" s="64" t="s">
        <v>133</v>
      </c>
    </row>
    <row r="18" spans="1:13" s="22" customFormat="1" ht="13" x14ac:dyDescent="0.3">
      <c r="A18" s="8"/>
      <c r="B18" s="65"/>
      <c r="C18" s="63" t="s">
        <v>123</v>
      </c>
      <c r="D18" s="64" t="s">
        <v>134</v>
      </c>
      <c r="E18" s="61" t="s">
        <v>126</v>
      </c>
      <c r="G18" s="8"/>
      <c r="K18" s="8"/>
      <c r="L18" s="8"/>
      <c r="M18" s="8"/>
    </row>
    <row r="19" spans="1:13" s="22" customFormat="1" ht="13" x14ac:dyDescent="0.3">
      <c r="A19" s="8"/>
      <c r="B19" s="65"/>
      <c r="C19" s="63" t="s">
        <v>124</v>
      </c>
      <c r="D19" s="1" t="s">
        <v>140</v>
      </c>
      <c r="G19" s="8"/>
      <c r="K19" s="8"/>
      <c r="L19" s="8"/>
      <c r="M19" s="8"/>
    </row>
    <row r="20" spans="1:13" s="22" customFormat="1" ht="13" x14ac:dyDescent="0.3">
      <c r="A20" s="8"/>
      <c r="B20" s="65"/>
      <c r="C20" s="63" t="s">
        <v>125</v>
      </c>
      <c r="D20" s="1" t="s">
        <v>135</v>
      </c>
      <c r="G20" s="8"/>
      <c r="K20" s="8"/>
      <c r="L20" s="8"/>
      <c r="M20" s="8"/>
    </row>
    <row r="21" spans="1:13" s="22" customFormat="1" ht="13" x14ac:dyDescent="0.3">
      <c r="A21" s="8"/>
      <c r="B21" s="8"/>
      <c r="C21" s="20"/>
      <c r="D21" s="8"/>
      <c r="G21" s="8"/>
      <c r="K21" s="8"/>
      <c r="L21" s="8"/>
      <c r="M21" s="8"/>
    </row>
    <row r="22" spans="1:13" s="22" customFormat="1" ht="13" x14ac:dyDescent="0.3">
      <c r="A22" s="4" t="s">
        <v>139</v>
      </c>
      <c r="B22" s="65">
        <v>1</v>
      </c>
      <c r="C22" s="63" t="s">
        <v>127</v>
      </c>
      <c r="D22" s="1" t="s">
        <v>136</v>
      </c>
      <c r="G22" s="8"/>
      <c r="K22" s="8"/>
      <c r="L22" s="8"/>
      <c r="M22" s="8"/>
    </row>
    <row r="23" spans="1:13" s="22" customFormat="1" ht="13" x14ac:dyDescent="0.3">
      <c r="A23" s="8"/>
      <c r="B23" s="65"/>
      <c r="C23" s="63" t="s">
        <v>128</v>
      </c>
      <c r="D23" s="1" t="s">
        <v>107</v>
      </c>
      <c r="E23" s="8"/>
      <c r="F23" s="8"/>
      <c r="G23" s="8"/>
      <c r="K23" s="8"/>
      <c r="L23" s="8"/>
      <c r="M23" s="8"/>
    </row>
    <row r="24" spans="1:13" s="22" customFormat="1" ht="13" x14ac:dyDescent="0.3">
      <c r="A24" s="8"/>
      <c r="B24" s="65"/>
      <c r="C24" s="63" t="s">
        <v>129</v>
      </c>
      <c r="D24" s="1" t="s">
        <v>138</v>
      </c>
      <c r="E24" s="8"/>
      <c r="F24" s="8"/>
      <c r="G24" s="8"/>
      <c r="K24" s="8"/>
      <c r="L24" s="8"/>
      <c r="M24" s="8"/>
    </row>
    <row r="25" spans="1:13" s="22" customFormat="1" ht="13" x14ac:dyDescent="0.3">
      <c r="A25" s="8"/>
      <c r="B25" s="65"/>
      <c r="C25" s="63" t="s">
        <v>130</v>
      </c>
      <c r="D25" s="1" t="s">
        <v>137</v>
      </c>
      <c r="E25" s="8"/>
      <c r="F25" s="8"/>
      <c r="G25" s="8"/>
      <c r="K25" s="8"/>
      <c r="L25" s="8"/>
      <c r="M25" s="8"/>
    </row>
    <row r="26" spans="1:13" s="22" customFormat="1" ht="13" x14ac:dyDescent="0.3">
      <c r="A26" s="16" t="s">
        <v>84</v>
      </c>
      <c r="B26" s="6"/>
      <c r="C26" s="17"/>
      <c r="D26" s="8"/>
      <c r="E26" s="8"/>
      <c r="F26" s="8"/>
      <c r="G26" s="8"/>
      <c r="K26" s="8"/>
      <c r="L26" s="8"/>
      <c r="M26" s="8"/>
    </row>
    <row r="27" spans="1:13" s="22" customFormat="1" ht="13" x14ac:dyDescent="0.3">
      <c r="A27" s="16"/>
      <c r="B27" s="6"/>
      <c r="C27" s="17"/>
      <c r="D27" s="8"/>
      <c r="E27" s="8"/>
      <c r="F27" s="8"/>
      <c r="G27" s="8"/>
      <c r="K27" s="8"/>
      <c r="L27" s="8"/>
      <c r="M27" s="8"/>
    </row>
    <row r="28" spans="1:13" s="22" customFormat="1" x14ac:dyDescent="0.25">
      <c r="A28" s="18" t="s">
        <v>0</v>
      </c>
      <c r="B28" s="19">
        <f>IF(B26=1,"",1)</f>
        <v>1</v>
      </c>
      <c r="C28" s="21" t="s">
        <v>80</v>
      </c>
      <c r="D28" s="8">
        <v>10</v>
      </c>
      <c r="E28" s="8">
        <v>10</v>
      </c>
      <c r="F28" s="8">
        <v>10</v>
      </c>
      <c r="G28" s="8"/>
      <c r="K28" s="8"/>
      <c r="L28" s="8"/>
      <c r="M28" s="8"/>
    </row>
    <row r="29" spans="1:13" s="22" customFormat="1" x14ac:dyDescent="0.25">
      <c r="A29" s="8" t="s">
        <v>1</v>
      </c>
      <c r="B29" s="19">
        <v>1</v>
      </c>
      <c r="C29" s="21" t="s">
        <v>81</v>
      </c>
      <c r="D29" s="8">
        <v>20</v>
      </c>
      <c r="E29" s="8">
        <v>20</v>
      </c>
      <c r="F29" s="8">
        <v>20</v>
      </c>
      <c r="G29" s="8"/>
      <c r="K29" s="8"/>
      <c r="L29" s="8"/>
      <c r="M29" s="8"/>
    </row>
    <row r="30" spans="1:13" s="22" customFormat="1" x14ac:dyDescent="0.25">
      <c r="A30" s="8" t="s">
        <v>5</v>
      </c>
      <c r="B30" s="39">
        <v>1</v>
      </c>
      <c r="C30" s="21" t="s">
        <v>63</v>
      </c>
      <c r="D30" s="8">
        <v>0</v>
      </c>
      <c r="E30" s="8">
        <v>0</v>
      </c>
      <c r="F30" s="8">
        <v>0</v>
      </c>
      <c r="G30" s="8"/>
      <c r="K30" s="8"/>
      <c r="L30" s="8"/>
      <c r="M30" s="8"/>
    </row>
    <row r="31" spans="1:13" s="22" customFormat="1" x14ac:dyDescent="0.25">
      <c r="A31" s="8" t="s">
        <v>6</v>
      </c>
      <c r="B31" s="19">
        <v>1</v>
      </c>
      <c r="C31" s="21" t="s">
        <v>64</v>
      </c>
      <c r="D31" s="8">
        <v>0</v>
      </c>
      <c r="E31" s="8">
        <v>0</v>
      </c>
      <c r="F31" s="8">
        <v>0</v>
      </c>
      <c r="G31" s="23"/>
      <c r="H31" s="37"/>
      <c r="K31" s="8"/>
      <c r="L31" s="8"/>
      <c r="M31" s="8"/>
    </row>
    <row r="32" spans="1:13" s="22" customFormat="1" x14ac:dyDescent="0.25">
      <c r="A32" s="8"/>
      <c r="B32" s="8"/>
      <c r="C32" s="17"/>
      <c r="D32" s="8"/>
      <c r="E32" s="8"/>
      <c r="F32" s="8" t="s">
        <v>92</v>
      </c>
      <c r="G32" s="8">
        <f>SUM(F28:F31)</f>
        <v>30</v>
      </c>
      <c r="H32" s="25"/>
      <c r="K32" s="8"/>
      <c r="L32" s="8"/>
      <c r="M32" s="8"/>
    </row>
    <row r="33" spans="1:13" s="22" customFormat="1" x14ac:dyDescent="0.25">
      <c r="A33" s="8" t="s">
        <v>3</v>
      </c>
      <c r="B33" s="24">
        <f>IF(SUM(B11:B13)&gt;0,1,"")</f>
        <v>1</v>
      </c>
      <c r="C33" s="21" t="s">
        <v>14</v>
      </c>
      <c r="D33" s="8">
        <v>388</v>
      </c>
      <c r="E33" s="8">
        <v>388</v>
      </c>
      <c r="F33" s="8">
        <v>388</v>
      </c>
      <c r="G33" s="8"/>
      <c r="K33" s="8"/>
      <c r="L33" s="8"/>
      <c r="M33" s="8"/>
    </row>
    <row r="34" spans="1:13" ht="25" x14ac:dyDescent="0.25">
      <c r="B34" s="114" t="str">
        <f>IF(B33=1,"",1)</f>
        <v/>
      </c>
      <c r="C34" s="21" t="s">
        <v>186</v>
      </c>
      <c r="D34" s="8">
        <v>588</v>
      </c>
      <c r="E34" s="8">
        <v>0</v>
      </c>
      <c r="F34" s="8" t="s">
        <v>92</v>
      </c>
    </row>
    <row r="35" spans="1:13" x14ac:dyDescent="0.25">
      <c r="B35" s="19">
        <v>1</v>
      </c>
      <c r="C35" s="21" t="s">
        <v>8</v>
      </c>
      <c r="D35" s="8">
        <v>9</v>
      </c>
      <c r="E35" s="8">
        <v>9</v>
      </c>
      <c r="F35" s="8">
        <v>9</v>
      </c>
      <c r="J35" s="25"/>
    </row>
    <row r="36" spans="1:13" x14ac:dyDescent="0.25">
      <c r="B36" s="19">
        <v>1</v>
      </c>
      <c r="C36" s="21" t="s">
        <v>12</v>
      </c>
      <c r="D36" s="8">
        <v>4</v>
      </c>
      <c r="E36" s="8">
        <v>4</v>
      </c>
      <c r="F36" s="8">
        <v>4</v>
      </c>
    </row>
    <row r="37" spans="1:13" x14ac:dyDescent="0.25">
      <c r="B37" s="19">
        <v>1</v>
      </c>
      <c r="C37" s="21" t="s">
        <v>9</v>
      </c>
      <c r="D37" s="8">
        <v>12</v>
      </c>
      <c r="E37" s="8">
        <v>12</v>
      </c>
      <c r="F37" s="8">
        <v>12</v>
      </c>
      <c r="G37" s="23"/>
      <c r="H37" s="37"/>
    </row>
    <row r="38" spans="1:13" x14ac:dyDescent="0.25">
      <c r="B38" s="8"/>
      <c r="F38" s="8" t="s">
        <v>92</v>
      </c>
      <c r="G38" s="8">
        <f>SUM(F33:F37)</f>
        <v>413</v>
      </c>
    </row>
    <row r="39" spans="1:13" x14ac:dyDescent="0.25">
      <c r="B39" s="19" t="str">
        <f>IF(ENGINE=D16,1,"")</f>
        <v/>
      </c>
      <c r="C39" s="54" t="s">
        <v>56</v>
      </c>
    </row>
    <row r="40" spans="1:13" x14ac:dyDescent="0.25">
      <c r="A40" s="8" t="s">
        <v>2</v>
      </c>
      <c r="B40" s="19">
        <f>IF(B39=1,"",1)</f>
        <v>1</v>
      </c>
      <c r="C40" s="21" t="s">
        <v>83</v>
      </c>
      <c r="D40" s="8">
        <v>200</v>
      </c>
      <c r="E40" s="8">
        <v>160</v>
      </c>
      <c r="F40" s="8">
        <v>160</v>
      </c>
      <c r="H40" s="26"/>
    </row>
    <row r="41" spans="1:13" x14ac:dyDescent="0.25">
      <c r="B41" s="19">
        <v>1</v>
      </c>
      <c r="C41" s="17" t="s">
        <v>10</v>
      </c>
      <c r="D41" s="8">
        <v>24</v>
      </c>
      <c r="E41" s="8">
        <v>24</v>
      </c>
      <c r="F41" s="8">
        <v>24</v>
      </c>
      <c r="G41" s="23"/>
      <c r="H41" s="37"/>
    </row>
    <row r="42" spans="1:13" x14ac:dyDescent="0.25">
      <c r="B42" s="8"/>
      <c r="F42" s="8" t="s">
        <v>92</v>
      </c>
      <c r="G42" s="8">
        <f>SUM(F40:F41)</f>
        <v>184</v>
      </c>
    </row>
    <row r="43" spans="1:13" x14ac:dyDescent="0.25">
      <c r="A43" s="8" t="s">
        <v>11</v>
      </c>
      <c r="B43" s="19">
        <f>IF(SUM(B12:B13)&gt;0,1,"")</f>
        <v>1</v>
      </c>
      <c r="C43" s="21" t="s">
        <v>95</v>
      </c>
      <c r="D43" s="8">
        <v>18</v>
      </c>
      <c r="E43" s="8">
        <v>18</v>
      </c>
      <c r="F43" s="8">
        <v>18</v>
      </c>
    </row>
    <row r="44" spans="1:13" x14ac:dyDescent="0.25">
      <c r="B44" s="19" t="str">
        <f>IF(B43=1,"",1)</f>
        <v/>
      </c>
      <c r="C44" s="21" t="s">
        <v>94</v>
      </c>
      <c r="D44" s="8">
        <v>18</v>
      </c>
      <c r="E44" s="8">
        <v>0</v>
      </c>
      <c r="F44" s="8" t="s">
        <v>92</v>
      </c>
    </row>
    <row r="45" spans="1:13" x14ac:dyDescent="0.25">
      <c r="B45" s="19">
        <v>1</v>
      </c>
      <c r="C45" s="21" t="s">
        <v>4</v>
      </c>
      <c r="D45" s="8">
        <v>55</v>
      </c>
      <c r="E45" s="8">
        <v>55</v>
      </c>
      <c r="F45" s="8">
        <v>55</v>
      </c>
    </row>
    <row r="46" spans="1:13" x14ac:dyDescent="0.25">
      <c r="B46" s="24" t="str">
        <f>B11</f>
        <v/>
      </c>
      <c r="C46" s="21" t="s">
        <v>88</v>
      </c>
      <c r="D46" s="8">
        <v>35</v>
      </c>
      <c r="E46" s="8">
        <v>35</v>
      </c>
      <c r="F46" s="8" t="s">
        <v>92</v>
      </c>
    </row>
    <row r="47" spans="1:13" x14ac:dyDescent="0.25">
      <c r="B47" s="19">
        <f>IF(OR(B12=1,B11=1),1,"")</f>
        <v>1</v>
      </c>
      <c r="C47" s="21" t="s">
        <v>87</v>
      </c>
      <c r="D47" s="8">
        <v>35</v>
      </c>
      <c r="E47" s="8">
        <v>0</v>
      </c>
      <c r="F47" s="8">
        <v>35</v>
      </c>
    </row>
    <row r="48" spans="1:13" x14ac:dyDescent="0.25">
      <c r="B48" s="19" t="str">
        <f>IF(OR(B14=1,B13=1),1,"")</f>
        <v/>
      </c>
      <c r="C48" s="21" t="s">
        <v>86</v>
      </c>
      <c r="D48" s="8">
        <v>35</v>
      </c>
      <c r="E48" s="8">
        <v>0</v>
      </c>
      <c r="F48" s="8" t="s">
        <v>92</v>
      </c>
      <c r="G48" s="23"/>
      <c r="H48" s="37"/>
    </row>
    <row r="49" spans="1:10" x14ac:dyDescent="0.25">
      <c r="B49" s="8"/>
      <c r="G49" s="8">
        <f>SUM(F43:F48)</f>
        <v>108</v>
      </c>
      <c r="H49" s="25"/>
    </row>
    <row r="51" spans="1:10" x14ac:dyDescent="0.25">
      <c r="A51" s="8" t="s">
        <v>7</v>
      </c>
      <c r="B51" s="19">
        <f>B33</f>
        <v>1</v>
      </c>
      <c r="C51" s="21" t="s">
        <v>57</v>
      </c>
      <c r="D51" s="8">
        <v>30</v>
      </c>
      <c r="E51" s="8">
        <v>30</v>
      </c>
      <c r="F51" s="8">
        <v>30</v>
      </c>
      <c r="H51" s="26"/>
      <c r="J51" s="26"/>
    </row>
    <row r="52" spans="1:10" x14ac:dyDescent="0.25">
      <c r="B52" s="19" t="str">
        <f>B34</f>
        <v/>
      </c>
      <c r="C52" s="21" t="s">
        <v>58</v>
      </c>
      <c r="D52" s="8">
        <v>30</v>
      </c>
      <c r="E52" s="8">
        <v>0</v>
      </c>
      <c r="F52" s="8" t="s">
        <v>92</v>
      </c>
      <c r="H52" s="26"/>
      <c r="J52" s="26"/>
    </row>
    <row r="53" spans="1:10" x14ac:dyDescent="0.25">
      <c r="B53" s="19">
        <v>1</v>
      </c>
      <c r="C53" s="21" t="s">
        <v>65</v>
      </c>
      <c r="D53" s="8">
        <v>0</v>
      </c>
      <c r="E53" s="8">
        <v>0</v>
      </c>
      <c r="F53" s="8">
        <v>0</v>
      </c>
      <c r="G53" s="23"/>
      <c r="H53" s="35"/>
    </row>
    <row r="55" spans="1:10" x14ac:dyDescent="0.25">
      <c r="B55" s="113" t="str">
        <f>B39</f>
        <v/>
      </c>
      <c r="C55" s="54" t="s">
        <v>59</v>
      </c>
      <c r="D55" s="8">
        <v>85</v>
      </c>
      <c r="E55" s="8">
        <v>85</v>
      </c>
      <c r="F55" s="8">
        <v>85</v>
      </c>
    </row>
    <row r="56" spans="1:10" ht="13" thickBot="1" x14ac:dyDescent="0.3">
      <c r="A56" s="18" t="s">
        <v>60</v>
      </c>
      <c r="B56" s="157">
        <f>B40</f>
        <v>1</v>
      </c>
      <c r="C56" s="21" t="s">
        <v>82</v>
      </c>
      <c r="D56" s="8">
        <v>85</v>
      </c>
      <c r="E56" s="8">
        <v>85</v>
      </c>
      <c r="F56" s="8">
        <v>85</v>
      </c>
      <c r="H56" s="26"/>
    </row>
    <row r="57" spans="1:10" ht="13.5" thickBot="1" x14ac:dyDescent="0.35">
      <c r="A57" s="29" t="s">
        <v>28</v>
      </c>
      <c r="B57" s="30"/>
      <c r="C57" s="31"/>
      <c r="D57" s="32"/>
      <c r="E57" s="32">
        <f>SUM(E31:E56)</f>
        <v>905</v>
      </c>
      <c r="F57" s="32">
        <f>SUM(F31:F56)</f>
        <v>905</v>
      </c>
      <c r="G57" s="32"/>
      <c r="H57" s="33"/>
      <c r="I57" s="33"/>
      <c r="J57" s="34">
        <f>2195+F57-E57-IF(B39=1,50,0)+IF(B34=1,200,0)</f>
        <v>2195</v>
      </c>
    </row>
    <row r="58" spans="1:10" x14ac:dyDescent="0.25">
      <c r="C58" s="8"/>
      <c r="F58" s="8" t="str">
        <f>IF(B58&gt;0,B58*D58,"")</f>
        <v/>
      </c>
    </row>
    <row r="59" spans="1:10" x14ac:dyDescent="0.25">
      <c r="F59" s="8" t="str">
        <f>IF(B59&gt;0,B59*D59,"")</f>
        <v/>
      </c>
    </row>
    <row r="60" spans="1:10" ht="13" x14ac:dyDescent="0.3">
      <c r="A60" s="16" t="s">
        <v>21</v>
      </c>
      <c r="B60" s="27"/>
      <c r="C60" s="17" t="s">
        <v>90</v>
      </c>
      <c r="D60" s="8">
        <v>428</v>
      </c>
      <c r="F60" s="8" t="s">
        <v>92</v>
      </c>
      <c r="H60" s="22">
        <v>799</v>
      </c>
      <c r="I60" s="26" t="str">
        <f>IF(B60=1,B60*H60,"")</f>
        <v/>
      </c>
      <c r="J60" s="26"/>
    </row>
    <row r="61" spans="1:10" x14ac:dyDescent="0.25">
      <c r="B61" s="27"/>
      <c r="C61" s="17" t="s">
        <v>72</v>
      </c>
      <c r="H61" s="22">
        <v>1795</v>
      </c>
      <c r="I61" s="26" t="str">
        <f t="shared" ref="I61:I72" si="0">IF(B61=1,B61*H61,"")</f>
        <v/>
      </c>
      <c r="J61" s="26"/>
    </row>
    <row r="62" spans="1:10" x14ac:dyDescent="0.25">
      <c r="B62" s="27" t="str">
        <f>IF(ENGINE="964",1,"")</f>
        <v/>
      </c>
      <c r="C62" s="54" t="s">
        <v>237</v>
      </c>
      <c r="D62" s="8">
        <v>150</v>
      </c>
      <c r="F62" s="8">
        <v>150</v>
      </c>
      <c r="H62" s="22">
        <v>475</v>
      </c>
      <c r="I62" s="26" t="str">
        <f t="shared" si="0"/>
        <v/>
      </c>
      <c r="J62" s="26"/>
    </row>
    <row r="63" spans="1:10" x14ac:dyDescent="0.25">
      <c r="B63" s="27">
        <f>IF(ENGINE="95",1,"")</f>
        <v>1</v>
      </c>
      <c r="C63" s="54" t="s">
        <v>235</v>
      </c>
      <c r="D63" s="8">
        <v>150</v>
      </c>
      <c r="F63" s="8" t="s">
        <v>92</v>
      </c>
      <c r="H63" s="22">
        <v>575</v>
      </c>
      <c r="I63" s="26">
        <f t="shared" si="0"/>
        <v>575</v>
      </c>
      <c r="J63" s="26"/>
    </row>
    <row r="64" spans="1:10" x14ac:dyDescent="0.25">
      <c r="B64" s="27" t="str">
        <f>IF(ENGINE="VREuro",1,"")</f>
        <v/>
      </c>
      <c r="C64" s="54" t="s">
        <v>236</v>
      </c>
      <c r="D64" s="8">
        <v>100</v>
      </c>
      <c r="F64" s="8" t="s">
        <v>92</v>
      </c>
      <c r="H64" s="22">
        <v>575</v>
      </c>
      <c r="I64" s="26" t="str">
        <f t="shared" si="0"/>
        <v/>
      </c>
      <c r="J64" s="26"/>
    </row>
    <row r="65" spans="1:10" x14ac:dyDescent="0.25">
      <c r="B65" s="27" t="str">
        <f>IF(ENGINE="VRUS",1,"")</f>
        <v/>
      </c>
      <c r="C65" s="17" t="s">
        <v>91</v>
      </c>
      <c r="D65" s="55">
        <v>100</v>
      </c>
      <c r="F65" s="8" t="s">
        <v>92</v>
      </c>
      <c r="H65" s="22">
        <v>995</v>
      </c>
      <c r="I65" s="26" t="str">
        <f t="shared" si="0"/>
        <v/>
      </c>
      <c r="J65" s="26"/>
    </row>
    <row r="66" spans="1:10" x14ac:dyDescent="0.25">
      <c r="B66" s="27">
        <v>1</v>
      </c>
      <c r="C66" s="17" t="s">
        <v>70</v>
      </c>
      <c r="D66" s="8">
        <v>35</v>
      </c>
      <c r="F66" s="8">
        <v>35</v>
      </c>
      <c r="H66" s="22">
        <v>89</v>
      </c>
      <c r="I66" s="26">
        <f t="shared" si="0"/>
        <v>89</v>
      </c>
      <c r="J66" s="26"/>
    </row>
    <row r="67" spans="1:10" x14ac:dyDescent="0.25">
      <c r="B67" s="27"/>
      <c r="C67" s="54" t="s">
        <v>240</v>
      </c>
      <c r="H67" s="22">
        <v>169</v>
      </c>
      <c r="I67" s="26" t="str">
        <f t="shared" si="0"/>
        <v/>
      </c>
      <c r="J67" s="26"/>
    </row>
    <row r="68" spans="1:10" x14ac:dyDescent="0.25">
      <c r="B68" s="27">
        <v>1</v>
      </c>
      <c r="C68" s="17" t="s">
        <v>24</v>
      </c>
      <c r="D68" s="8">
        <v>35</v>
      </c>
      <c r="F68" s="8">
        <v>35</v>
      </c>
      <c r="H68" s="22">
        <v>65</v>
      </c>
      <c r="I68" s="26">
        <f t="shared" si="0"/>
        <v>65</v>
      </c>
      <c r="J68" s="26"/>
    </row>
    <row r="69" spans="1:10" x14ac:dyDescent="0.25">
      <c r="B69" s="27">
        <v>1</v>
      </c>
      <c r="C69" s="21" t="s">
        <v>16</v>
      </c>
      <c r="H69" s="22">
        <v>95</v>
      </c>
      <c r="I69" s="26">
        <f t="shared" si="0"/>
        <v>95</v>
      </c>
      <c r="J69" s="26"/>
    </row>
    <row r="70" spans="1:10" x14ac:dyDescent="0.25">
      <c r="B70" s="27"/>
      <c r="C70" s="21" t="s">
        <v>97</v>
      </c>
      <c r="H70" s="22">
        <v>125</v>
      </c>
      <c r="I70" s="26" t="str">
        <f t="shared" si="0"/>
        <v/>
      </c>
      <c r="J70" s="26"/>
    </row>
    <row r="71" spans="1:10" x14ac:dyDescent="0.25">
      <c r="B71" s="27">
        <v>1</v>
      </c>
      <c r="C71" s="54" t="s">
        <v>234</v>
      </c>
      <c r="D71" s="8">
        <v>6</v>
      </c>
      <c r="H71" s="22">
        <v>39</v>
      </c>
      <c r="I71" s="26">
        <f t="shared" si="0"/>
        <v>39</v>
      </c>
      <c r="J71" s="26"/>
    </row>
    <row r="72" spans="1:10" x14ac:dyDescent="0.25">
      <c r="B72" s="27"/>
      <c r="C72" s="54" t="s">
        <v>190</v>
      </c>
      <c r="D72" s="8">
        <v>0</v>
      </c>
      <c r="F72" s="8" t="s">
        <v>92</v>
      </c>
      <c r="H72" s="37">
        <v>50</v>
      </c>
      <c r="I72" s="35" t="str">
        <f t="shared" si="0"/>
        <v/>
      </c>
      <c r="J72" s="35"/>
    </row>
    <row r="73" spans="1:10" x14ac:dyDescent="0.25">
      <c r="B73" s="8"/>
      <c r="G73" s="8">
        <f>SUM(F60:F72)</f>
        <v>220</v>
      </c>
      <c r="I73" s="26"/>
      <c r="J73" s="26">
        <f>SUM(I60:I72)</f>
        <v>863</v>
      </c>
    </row>
    <row r="74" spans="1:10" x14ac:dyDescent="0.25">
      <c r="B74" s="8"/>
      <c r="C74" s="21"/>
      <c r="I74" s="26"/>
    </row>
    <row r="75" spans="1:10" ht="13" x14ac:dyDescent="0.3">
      <c r="A75" s="16" t="s">
        <v>22</v>
      </c>
      <c r="B75" s="27" t="str">
        <f>IF(OR(ENGINE="VREURO",ENGINE="VRUS"),1,"")</f>
        <v/>
      </c>
      <c r="C75" s="2" t="s">
        <v>162</v>
      </c>
      <c r="H75" s="22">
        <v>95</v>
      </c>
      <c r="I75" s="26" t="str">
        <f>IF(B75&lt;&gt;"",B75*H75,"")</f>
        <v/>
      </c>
      <c r="J75" s="26"/>
    </row>
    <row r="76" spans="1:10" x14ac:dyDescent="0.25">
      <c r="B76" s="27" t="str">
        <f>IF(OR(ENGINE="VREURO",ENGINE="VRUS"),1,"")</f>
        <v/>
      </c>
      <c r="C76" s="2" t="s">
        <v>161</v>
      </c>
      <c r="H76" s="22">
        <v>65</v>
      </c>
      <c r="I76" s="26" t="str">
        <f t="shared" ref="I76:I99" si="1">IF(B76&lt;&gt;"",B76*H76,"")</f>
        <v/>
      </c>
      <c r="J76" s="26"/>
    </row>
    <row r="77" spans="1:10" x14ac:dyDescent="0.25">
      <c r="B77" s="27">
        <f>IF(ENGINE&lt;&gt;"964",1,"")</f>
        <v>1</v>
      </c>
      <c r="C77" s="54" t="s">
        <v>239</v>
      </c>
      <c r="H77" s="56">
        <v>28</v>
      </c>
      <c r="I77" s="26">
        <f t="shared" si="1"/>
        <v>28</v>
      </c>
      <c r="J77" s="26"/>
    </row>
    <row r="78" spans="1:10" x14ac:dyDescent="0.25">
      <c r="B78" s="27">
        <v>1</v>
      </c>
      <c r="C78" s="17" t="s">
        <v>15</v>
      </c>
      <c r="D78" s="8">
        <v>98</v>
      </c>
      <c r="F78" s="8">
        <v>98</v>
      </c>
      <c r="H78" s="22">
        <v>139</v>
      </c>
      <c r="I78" s="26">
        <f t="shared" si="1"/>
        <v>139</v>
      </c>
      <c r="J78" s="26"/>
    </row>
    <row r="79" spans="1:10" x14ac:dyDescent="0.25">
      <c r="B79" s="27"/>
      <c r="C79" s="54" t="s">
        <v>183</v>
      </c>
      <c r="H79" s="22">
        <v>125</v>
      </c>
      <c r="I79" s="26" t="str">
        <f t="shared" si="1"/>
        <v/>
      </c>
      <c r="J79" s="26"/>
    </row>
    <row r="80" spans="1:10" x14ac:dyDescent="0.25">
      <c r="B80" s="27"/>
      <c r="C80" s="54" t="s">
        <v>191</v>
      </c>
      <c r="D80" s="18">
        <v>30</v>
      </c>
      <c r="E80" s="18"/>
      <c r="F80" s="8" t="s">
        <v>92</v>
      </c>
      <c r="H80" s="22">
        <v>125</v>
      </c>
      <c r="I80" s="26" t="str">
        <f t="shared" si="1"/>
        <v/>
      </c>
      <c r="J80" s="26"/>
    </row>
    <row r="81" spans="1:10" x14ac:dyDescent="0.25">
      <c r="B81" s="27"/>
      <c r="C81" s="54" t="s">
        <v>192</v>
      </c>
      <c r="D81" s="8">
        <v>140</v>
      </c>
      <c r="F81" s="8" t="s">
        <v>92</v>
      </c>
      <c r="H81" s="22">
        <v>299</v>
      </c>
      <c r="I81" s="26" t="str">
        <f t="shared" si="1"/>
        <v/>
      </c>
      <c r="J81" s="26"/>
    </row>
    <row r="82" spans="1:10" x14ac:dyDescent="0.25">
      <c r="B82" s="27"/>
      <c r="C82" s="54" t="s">
        <v>193</v>
      </c>
      <c r="H82" s="22">
        <v>370</v>
      </c>
      <c r="I82" s="26" t="str">
        <f t="shared" si="1"/>
        <v/>
      </c>
      <c r="J82" s="26"/>
    </row>
    <row r="83" spans="1:10" ht="12" customHeight="1" x14ac:dyDescent="0.3">
      <c r="A83" s="16"/>
      <c r="B83" s="27"/>
      <c r="C83" s="3" t="s">
        <v>99</v>
      </c>
      <c r="H83" s="22">
        <v>195</v>
      </c>
      <c r="I83" s="26" t="str">
        <f t="shared" si="1"/>
        <v/>
      </c>
      <c r="J83" s="26"/>
    </row>
    <row r="84" spans="1:10" x14ac:dyDescent="0.25">
      <c r="B84" s="27"/>
      <c r="C84" s="2" t="s">
        <v>101</v>
      </c>
      <c r="H84" s="56">
        <v>85</v>
      </c>
      <c r="I84" s="26" t="str">
        <f t="shared" si="1"/>
        <v/>
      </c>
      <c r="J84" s="26"/>
    </row>
    <row r="85" spans="1:10" x14ac:dyDescent="0.25">
      <c r="B85" s="27"/>
      <c r="C85" s="2" t="s">
        <v>100</v>
      </c>
      <c r="H85" s="56">
        <v>85</v>
      </c>
      <c r="I85" s="26" t="str">
        <f t="shared" si="1"/>
        <v/>
      </c>
      <c r="J85" s="26"/>
    </row>
    <row r="86" spans="1:10" x14ac:dyDescent="0.25">
      <c r="B86" s="27"/>
      <c r="C86" s="54" t="s">
        <v>238</v>
      </c>
      <c r="H86" s="22">
        <v>69</v>
      </c>
      <c r="I86" s="26" t="str">
        <f t="shared" si="1"/>
        <v/>
      </c>
      <c r="J86" s="26"/>
    </row>
    <row r="87" spans="1:10" x14ac:dyDescent="0.25">
      <c r="B87" s="27"/>
      <c r="C87" s="54" t="s">
        <v>194</v>
      </c>
      <c r="D87" s="8">
        <v>99</v>
      </c>
      <c r="F87" s="8" t="s">
        <v>92</v>
      </c>
      <c r="H87" s="22">
        <v>48</v>
      </c>
      <c r="I87" s="26" t="str">
        <f t="shared" si="1"/>
        <v/>
      </c>
      <c r="J87" s="26"/>
    </row>
    <row r="88" spans="1:10" x14ac:dyDescent="0.25">
      <c r="B88" s="27"/>
      <c r="C88" s="17" t="s">
        <v>104</v>
      </c>
      <c r="D88" s="8">
        <v>100</v>
      </c>
      <c r="F88" s="8" t="s">
        <v>92</v>
      </c>
      <c r="H88" s="22">
        <v>48</v>
      </c>
      <c r="I88" s="26" t="str">
        <f t="shared" si="1"/>
        <v/>
      </c>
      <c r="J88" s="26"/>
    </row>
    <row r="89" spans="1:10" x14ac:dyDescent="0.25">
      <c r="B89" s="27"/>
      <c r="C89" s="17" t="s">
        <v>105</v>
      </c>
      <c r="D89" s="8">
        <v>101</v>
      </c>
      <c r="F89" s="8" t="s">
        <v>92</v>
      </c>
      <c r="H89" s="22">
        <v>39</v>
      </c>
      <c r="I89" s="26" t="str">
        <f t="shared" si="1"/>
        <v/>
      </c>
      <c r="J89" s="26"/>
    </row>
    <row r="90" spans="1:10" x14ac:dyDescent="0.25">
      <c r="B90" s="27"/>
      <c r="C90" s="17" t="s">
        <v>17</v>
      </c>
      <c r="D90" s="8">
        <v>93</v>
      </c>
      <c r="F90" s="8" t="s">
        <v>92</v>
      </c>
      <c r="H90" s="22">
        <v>199</v>
      </c>
      <c r="I90" s="26" t="str">
        <f t="shared" si="1"/>
        <v/>
      </c>
      <c r="J90" s="26"/>
    </row>
    <row r="91" spans="1:10" ht="37.5" x14ac:dyDescent="0.25">
      <c r="B91" s="40"/>
      <c r="C91" s="17" t="s">
        <v>66</v>
      </c>
      <c r="D91" s="18"/>
      <c r="E91" s="18"/>
      <c r="G91" s="18"/>
      <c r="H91" s="22">
        <v>249</v>
      </c>
      <c r="I91" s="26" t="str">
        <f t="shared" si="1"/>
        <v/>
      </c>
      <c r="J91" s="26"/>
    </row>
    <row r="92" spans="1:10" ht="27.65" customHeight="1" x14ac:dyDescent="0.25">
      <c r="B92" s="27"/>
      <c r="C92" s="54" t="s">
        <v>195</v>
      </c>
      <c r="D92" s="18">
        <v>65</v>
      </c>
      <c r="E92" s="18"/>
      <c r="F92" s="8" t="s">
        <v>92</v>
      </c>
      <c r="H92" s="22">
        <v>169</v>
      </c>
      <c r="I92" s="26" t="str">
        <f t="shared" si="1"/>
        <v/>
      </c>
      <c r="J92" s="26"/>
    </row>
    <row r="93" spans="1:10" ht="14.25" customHeight="1" x14ac:dyDescent="0.25">
      <c r="B93" s="27"/>
      <c r="C93" s="17" t="s">
        <v>96</v>
      </c>
      <c r="D93" s="18">
        <v>66</v>
      </c>
      <c r="E93" s="18"/>
      <c r="F93" s="8" t="s">
        <v>92</v>
      </c>
      <c r="H93" s="22">
        <v>169</v>
      </c>
      <c r="I93" s="26" t="str">
        <f t="shared" si="1"/>
        <v/>
      </c>
      <c r="J93" s="26"/>
    </row>
    <row r="94" spans="1:10" x14ac:dyDescent="0.25">
      <c r="B94" s="27">
        <v>1</v>
      </c>
      <c r="C94" s="17" t="s">
        <v>37</v>
      </c>
      <c r="F94" s="8">
        <v>0</v>
      </c>
      <c r="H94" s="56">
        <v>28</v>
      </c>
      <c r="I94" s="26">
        <f t="shared" si="1"/>
        <v>28</v>
      </c>
      <c r="J94" s="26"/>
    </row>
    <row r="95" spans="1:10" x14ac:dyDescent="0.25">
      <c r="B95" s="27"/>
      <c r="C95" s="17" t="s">
        <v>67</v>
      </c>
      <c r="F95" s="8" t="s">
        <v>92</v>
      </c>
      <c r="H95" s="56">
        <v>16</v>
      </c>
      <c r="I95" s="26" t="str">
        <f t="shared" si="1"/>
        <v/>
      </c>
      <c r="J95" s="26"/>
    </row>
    <row r="96" spans="1:10" x14ac:dyDescent="0.25">
      <c r="B96" s="27">
        <v>1</v>
      </c>
      <c r="C96" s="17" t="s">
        <v>68</v>
      </c>
      <c r="H96" s="56">
        <v>29</v>
      </c>
      <c r="I96" s="26">
        <f t="shared" si="1"/>
        <v>29</v>
      </c>
      <c r="J96" s="26"/>
    </row>
    <row r="97" spans="1:11" x14ac:dyDescent="0.25">
      <c r="B97" s="27">
        <v>1</v>
      </c>
      <c r="C97" s="21" t="s">
        <v>89</v>
      </c>
      <c r="D97" s="8">
        <v>12</v>
      </c>
      <c r="E97" s="8">
        <v>12</v>
      </c>
      <c r="F97" s="8" t="s">
        <v>92</v>
      </c>
      <c r="H97" s="22">
        <v>29</v>
      </c>
      <c r="I97" s="26">
        <f t="shared" si="1"/>
        <v>29</v>
      </c>
    </row>
    <row r="98" spans="1:11" x14ac:dyDescent="0.25">
      <c r="B98" s="27">
        <v>1</v>
      </c>
      <c r="C98" s="21" t="s">
        <v>62</v>
      </c>
      <c r="D98" s="8">
        <v>95</v>
      </c>
      <c r="E98" s="8">
        <v>95</v>
      </c>
      <c r="F98" s="8" t="s">
        <v>92</v>
      </c>
      <c r="H98" s="22">
        <v>125</v>
      </c>
      <c r="I98" s="26">
        <f t="shared" si="1"/>
        <v>125</v>
      </c>
    </row>
    <row r="99" spans="1:11" x14ac:dyDescent="0.25">
      <c r="B99" s="27">
        <v>1</v>
      </c>
      <c r="C99" s="21" t="s">
        <v>61</v>
      </c>
      <c r="D99" s="8">
        <v>105</v>
      </c>
      <c r="E99" s="8">
        <v>105</v>
      </c>
      <c r="F99" s="8" t="s">
        <v>92</v>
      </c>
      <c r="H99" s="22">
        <v>139</v>
      </c>
      <c r="I99" s="26">
        <f t="shared" si="1"/>
        <v>139</v>
      </c>
      <c r="J99" s="25"/>
    </row>
    <row r="100" spans="1:11" x14ac:dyDescent="0.25">
      <c r="A100" s="8" t="s">
        <v>36</v>
      </c>
      <c r="B100" s="27"/>
      <c r="C100" s="41"/>
      <c r="D100" s="27"/>
      <c r="E100" s="42"/>
      <c r="G100" s="27"/>
      <c r="H100" s="57"/>
      <c r="I100" s="26" t="str">
        <f t="shared" ref="I100:I105" si="2">IF(B100&gt;0,B100*H100,"")</f>
        <v/>
      </c>
      <c r="J100" s="26"/>
    </row>
    <row r="101" spans="1:11" x14ac:dyDescent="0.25">
      <c r="B101" s="27"/>
      <c r="C101" s="41"/>
      <c r="D101" s="27"/>
      <c r="E101" s="42"/>
      <c r="G101" s="27"/>
      <c r="H101" s="57"/>
      <c r="I101" s="26" t="str">
        <f t="shared" si="2"/>
        <v/>
      </c>
      <c r="J101" s="26"/>
    </row>
    <row r="102" spans="1:11" x14ac:dyDescent="0.25">
      <c r="B102" s="27"/>
      <c r="C102" s="41"/>
      <c r="D102" s="27"/>
      <c r="E102" s="42"/>
      <c r="G102" s="27"/>
      <c r="H102" s="57"/>
      <c r="I102" s="26" t="str">
        <f t="shared" si="2"/>
        <v/>
      </c>
      <c r="J102" s="26"/>
    </row>
    <row r="103" spans="1:11" x14ac:dyDescent="0.25">
      <c r="B103" s="27"/>
      <c r="C103" s="43"/>
      <c r="D103" s="27"/>
      <c r="E103" s="42"/>
      <c r="G103" s="27"/>
      <c r="H103" s="57"/>
      <c r="I103" s="26" t="str">
        <f t="shared" si="2"/>
        <v/>
      </c>
      <c r="J103" s="26"/>
    </row>
    <row r="104" spans="1:11" x14ac:dyDescent="0.25">
      <c r="B104" s="27"/>
      <c r="C104" s="43"/>
      <c r="D104" s="27"/>
      <c r="E104" s="42"/>
      <c r="G104" s="27"/>
      <c r="H104" s="57"/>
      <c r="I104" s="26" t="str">
        <f t="shared" si="2"/>
        <v/>
      </c>
      <c r="J104" s="26"/>
    </row>
    <row r="105" spans="1:11" ht="13" thickBot="1" x14ac:dyDescent="0.3">
      <c r="B105" s="27"/>
      <c r="C105" s="43"/>
      <c r="D105" s="27"/>
      <c r="E105" s="42"/>
      <c r="G105" s="27"/>
      <c r="H105" s="57"/>
      <c r="I105" s="26" t="str">
        <f t="shared" si="2"/>
        <v/>
      </c>
      <c r="J105" s="26"/>
    </row>
    <row r="106" spans="1:11" ht="13" thickBot="1" x14ac:dyDescent="0.3">
      <c r="F106" s="8" t="str">
        <f>IF(B106&gt;0,B106*D106,"")</f>
        <v/>
      </c>
      <c r="G106" s="32">
        <f>SUM(F81:F105)</f>
        <v>0</v>
      </c>
      <c r="H106" s="25"/>
      <c r="I106" s="36"/>
      <c r="J106" s="22">
        <f>SUM(I75:I105)</f>
        <v>517</v>
      </c>
    </row>
    <row r="107" spans="1:11" ht="13.5" thickBot="1" x14ac:dyDescent="0.35">
      <c r="A107" s="44" t="s">
        <v>25</v>
      </c>
      <c r="B107" s="30"/>
      <c r="C107" s="31"/>
      <c r="D107" s="32"/>
      <c r="F107" s="8" t="str">
        <f>IF(B107&gt;0,B107*D107,"")</f>
        <v/>
      </c>
      <c r="H107" s="33"/>
      <c r="I107" s="33"/>
      <c r="J107" s="33"/>
      <c r="K107" s="45">
        <f>SUM(J57:J106)</f>
        <v>3575</v>
      </c>
    </row>
    <row r="108" spans="1:11" x14ac:dyDescent="0.25">
      <c r="F108" s="8" t="str">
        <f>IF(B108&gt;0,B108*D108,"")</f>
        <v/>
      </c>
    </row>
    <row r="109" spans="1:11" x14ac:dyDescent="0.25">
      <c r="F109" s="8" t="str">
        <f>IF(B109&gt;0,B109*D109,"")</f>
        <v/>
      </c>
      <c r="H109" s="25"/>
      <c r="I109" s="36"/>
      <c r="J109" s="25"/>
      <c r="K109" s="38"/>
    </row>
    <row r="110" spans="1:11" ht="13" x14ac:dyDescent="0.3">
      <c r="A110" s="16" t="s">
        <v>23</v>
      </c>
      <c r="C110" s="21"/>
      <c r="I110" s="26" t="str">
        <f t="shared" ref="I110:I118" si="3">IF(B110&gt;0,B110*H110,"")</f>
        <v/>
      </c>
      <c r="J110" s="26"/>
    </row>
    <row r="111" spans="1:11" x14ac:dyDescent="0.25">
      <c r="B111" s="27"/>
      <c r="C111" t="s">
        <v>50</v>
      </c>
      <c r="H111" s="22">
        <v>2295</v>
      </c>
      <c r="I111" s="26" t="str">
        <f t="shared" si="3"/>
        <v/>
      </c>
      <c r="J111" s="26"/>
    </row>
    <row r="112" spans="1:11" x14ac:dyDescent="0.25">
      <c r="B112" s="27"/>
      <c r="C112" t="s">
        <v>242</v>
      </c>
      <c r="H112" s="22">
        <v>2695</v>
      </c>
      <c r="I112" s="26"/>
      <c r="J112" s="26"/>
    </row>
    <row r="113" spans="1:13" x14ac:dyDescent="0.25">
      <c r="B113" s="27"/>
      <c r="C113" t="s">
        <v>49</v>
      </c>
      <c r="D113" s="8">
        <v>1650</v>
      </c>
      <c r="F113" s="8" t="str">
        <f>IF(B113&gt;0,B113*D113,"")</f>
        <v/>
      </c>
      <c r="H113" s="22">
        <f>H112+1300</f>
        <v>3995</v>
      </c>
      <c r="I113" s="26" t="str">
        <f t="shared" si="3"/>
        <v/>
      </c>
      <c r="J113" s="26"/>
      <c r="M113" s="8">
        <v>1</v>
      </c>
    </row>
    <row r="114" spans="1:13" x14ac:dyDescent="0.25">
      <c r="B114" s="27"/>
      <c r="C114" s="55" t="s">
        <v>156</v>
      </c>
      <c r="H114" s="22">
        <v>275</v>
      </c>
      <c r="I114" s="26" t="str">
        <f t="shared" si="3"/>
        <v/>
      </c>
      <c r="J114" s="26"/>
    </row>
    <row r="115" spans="1:13" x14ac:dyDescent="0.25">
      <c r="B115" s="27"/>
      <c r="C115" s="54" t="s">
        <v>155</v>
      </c>
      <c r="D115" s="8">
        <v>73</v>
      </c>
      <c r="F115" s="8" t="str">
        <f>IF(B115&gt;0,B115*D115,"")</f>
        <v/>
      </c>
      <c r="H115" s="22">
        <v>200</v>
      </c>
      <c r="I115" s="26" t="str">
        <f t="shared" si="3"/>
        <v/>
      </c>
      <c r="J115" s="36"/>
    </row>
    <row r="116" spans="1:13" x14ac:dyDescent="0.25">
      <c r="B116" s="27"/>
      <c r="C116" s="21" t="s">
        <v>52</v>
      </c>
      <c r="H116" s="22" t="s">
        <v>93</v>
      </c>
      <c r="I116" s="26" t="str">
        <f t="shared" si="3"/>
        <v/>
      </c>
      <c r="J116" s="26"/>
    </row>
    <row r="117" spans="1:13" x14ac:dyDescent="0.25">
      <c r="B117" s="27"/>
      <c r="C117" s="21" t="s">
        <v>53</v>
      </c>
      <c r="H117" s="22">
        <v>395</v>
      </c>
      <c r="I117" s="26" t="str">
        <f t="shared" si="3"/>
        <v/>
      </c>
      <c r="J117" s="26"/>
    </row>
    <row r="118" spans="1:13" x14ac:dyDescent="0.25">
      <c r="B118" s="27"/>
      <c r="C118" s="21" t="s">
        <v>54</v>
      </c>
      <c r="H118" s="22">
        <v>595</v>
      </c>
      <c r="I118" s="26" t="str">
        <f t="shared" si="3"/>
        <v/>
      </c>
      <c r="J118" s="36"/>
    </row>
    <row r="119" spans="1:13" ht="25" x14ac:dyDescent="0.25">
      <c r="B119" s="27"/>
      <c r="C119" s="21" t="s">
        <v>185</v>
      </c>
      <c r="H119" s="22">
        <v>2195</v>
      </c>
      <c r="I119" s="26"/>
      <c r="J119" s="36"/>
    </row>
    <row r="120" spans="1:13" ht="25" x14ac:dyDescent="0.25">
      <c r="B120" s="27"/>
      <c r="C120" s="54" t="s">
        <v>202</v>
      </c>
      <c r="H120" s="22">
        <v>295</v>
      </c>
      <c r="I120" s="26"/>
      <c r="J120" s="36"/>
    </row>
    <row r="121" spans="1:13" x14ac:dyDescent="0.25">
      <c r="B121" s="27"/>
      <c r="C121" t="s">
        <v>51</v>
      </c>
      <c r="D121" s="8">
        <v>50</v>
      </c>
      <c r="F121" s="8" t="str">
        <f>IF(B121&gt;0,B121*D121,"")</f>
        <v/>
      </c>
      <c r="H121" s="22">
        <v>1395</v>
      </c>
      <c r="I121" s="26" t="str">
        <f>IF(B121&gt;0,B121*H121,"")</f>
        <v/>
      </c>
      <c r="J121" s="26"/>
    </row>
    <row r="122" spans="1:13" ht="15" customHeight="1" x14ac:dyDescent="0.25">
      <c r="B122" s="27"/>
      <c r="C122" t="s">
        <v>69</v>
      </c>
      <c r="H122" s="22">
        <v>275</v>
      </c>
      <c r="I122" s="26" t="str">
        <f>IF(B122&gt;0,B122*H122,"")</f>
        <v/>
      </c>
      <c r="J122" s="26"/>
    </row>
    <row r="123" spans="1:13" ht="15" customHeight="1" x14ac:dyDescent="0.25">
      <c r="B123" s="27"/>
      <c r="C123" s="54" t="s">
        <v>203</v>
      </c>
      <c r="H123" s="22">
        <v>165</v>
      </c>
      <c r="I123" s="26" t="str">
        <f>IF(B123&gt;0,B123*H123,"")</f>
        <v/>
      </c>
      <c r="J123" s="26"/>
    </row>
    <row r="124" spans="1:13" ht="15" customHeight="1" thickBot="1" x14ac:dyDescent="0.3">
      <c r="B124" s="27"/>
      <c r="C124" t="s">
        <v>55</v>
      </c>
      <c r="H124" s="22">
        <v>375</v>
      </c>
      <c r="I124" s="26" t="str">
        <f>IF(B124&gt;0,B124*H124,"")</f>
        <v/>
      </c>
      <c r="J124" s="26"/>
    </row>
    <row r="125" spans="1:13" ht="13.5" thickBot="1" x14ac:dyDescent="0.35">
      <c r="A125" s="44" t="s">
        <v>27</v>
      </c>
      <c r="B125" s="46"/>
      <c r="C125" s="32"/>
      <c r="D125" s="32"/>
      <c r="F125" s="8" t="str">
        <f>IF(B125&gt;0,B125*D125,"")</f>
        <v/>
      </c>
      <c r="G125" s="32">
        <f>SUM(F110:F118)</f>
        <v>0</v>
      </c>
      <c r="H125" s="33"/>
      <c r="I125" s="32"/>
      <c r="J125" s="33"/>
      <c r="K125" s="34">
        <f>SUM(I110:I124)</f>
        <v>0</v>
      </c>
    </row>
    <row r="126" spans="1:13" ht="13" thickBot="1" x14ac:dyDescent="0.3">
      <c r="B126" s="8"/>
      <c r="F126" s="8" t="str">
        <f>IF(B126&gt;0,B126*D126,"")</f>
        <v/>
      </c>
      <c r="I126" s="26"/>
      <c r="J126" s="26"/>
    </row>
    <row r="127" spans="1:13" ht="25" customHeight="1" x14ac:dyDescent="0.25">
      <c r="A127" s="199" t="s">
        <v>116</v>
      </c>
      <c r="B127" s="121"/>
      <c r="C127" s="120" t="s">
        <v>117</v>
      </c>
      <c r="D127" s="115"/>
      <c r="E127" s="115"/>
      <c r="F127" s="115" t="s">
        <v>92</v>
      </c>
      <c r="G127" s="115"/>
      <c r="H127" s="126">
        <v>895</v>
      </c>
      <c r="I127" s="127" t="str">
        <f>IF(B127&gt;0,B127*H127,"")</f>
        <v/>
      </c>
      <c r="J127" s="25"/>
      <c r="K127" s="25"/>
    </row>
    <row r="128" spans="1:13" ht="25" x14ac:dyDescent="0.25">
      <c r="A128" s="200"/>
      <c r="B128" s="122"/>
      <c r="C128" s="2" t="s">
        <v>165</v>
      </c>
      <c r="D128"/>
      <c r="E128"/>
      <c r="F128"/>
      <c r="G128"/>
      <c r="H128" s="62">
        <v>995</v>
      </c>
      <c r="I128" s="130" t="str">
        <f>IF(B128&gt;0,B128*H128,"")</f>
        <v/>
      </c>
      <c r="J128" s="25"/>
      <c r="K128" s="25"/>
    </row>
    <row r="129" spans="1:11" ht="25" x14ac:dyDescent="0.25">
      <c r="A129" s="200"/>
      <c r="B129" s="122"/>
      <c r="C129" s="2" t="s">
        <v>166</v>
      </c>
      <c r="D129"/>
      <c r="E129"/>
      <c r="F129"/>
      <c r="G129"/>
      <c r="H129" s="62">
        <v>1395</v>
      </c>
      <c r="I129" s="130"/>
      <c r="J129" s="25"/>
      <c r="K129" s="25"/>
    </row>
    <row r="130" spans="1:11" x14ac:dyDescent="0.25">
      <c r="A130" s="200"/>
      <c r="B130" s="122"/>
      <c r="C130" s="3" t="s">
        <v>143</v>
      </c>
      <c r="D130"/>
      <c r="E130"/>
      <c r="F130"/>
      <c r="G130"/>
      <c r="H130" s="60">
        <v>995</v>
      </c>
      <c r="I130" s="130" t="str">
        <f>IF(B130&gt;0,B130*H130,"")</f>
        <v/>
      </c>
      <c r="J130" s="25"/>
      <c r="K130" s="25"/>
    </row>
    <row r="131" spans="1:11" ht="25" x14ac:dyDescent="0.25">
      <c r="A131" s="200"/>
      <c r="B131" s="122"/>
      <c r="C131" s="3" t="s">
        <v>144</v>
      </c>
      <c r="D131"/>
      <c r="E131"/>
      <c r="F131" t="s">
        <v>92</v>
      </c>
      <c r="G131"/>
      <c r="H131" s="60">
        <v>995</v>
      </c>
      <c r="I131" s="130" t="str">
        <f>IF(B131&gt;0,B131*H131,"")</f>
        <v/>
      </c>
      <c r="J131" s="25"/>
      <c r="K131" s="25"/>
    </row>
    <row r="132" spans="1:11" x14ac:dyDescent="0.25">
      <c r="A132" s="200"/>
      <c r="B132" s="122"/>
      <c r="C132" s="2" t="s">
        <v>115</v>
      </c>
      <c r="D132"/>
      <c r="E132"/>
      <c r="F132" t="s">
        <v>92</v>
      </c>
      <c r="G132"/>
      <c r="H132" s="60">
        <v>1495</v>
      </c>
      <c r="I132" s="130" t="str">
        <f>IF(B132&gt;0,B132*H132,"")</f>
        <v/>
      </c>
      <c r="J132" s="25"/>
      <c r="K132" s="25"/>
    </row>
    <row r="133" spans="1:11" ht="25" x14ac:dyDescent="0.25">
      <c r="A133" s="200"/>
      <c r="B133" s="122"/>
      <c r="C133" s="3" t="s">
        <v>102</v>
      </c>
      <c r="D133"/>
      <c r="E133"/>
      <c r="F133"/>
      <c r="G133"/>
      <c r="H133" s="60">
        <v>1295</v>
      </c>
      <c r="I133" s="130" t="str">
        <f>IF(B133&gt;0,B133*H133,"")</f>
        <v/>
      </c>
      <c r="J133" s="25"/>
      <c r="K133" s="25"/>
    </row>
    <row r="134" spans="1:11" ht="25" x14ac:dyDescent="0.25">
      <c r="A134" s="200"/>
      <c r="B134" s="122"/>
      <c r="C134" s="54" t="s">
        <v>164</v>
      </c>
      <c r="D134"/>
      <c r="E134"/>
      <c r="F134"/>
      <c r="G134"/>
      <c r="H134" s="62">
        <v>1595</v>
      </c>
      <c r="I134" s="130" t="str">
        <f>IF(B134&gt;0,B134*H134,"")</f>
        <v/>
      </c>
      <c r="J134" s="25"/>
      <c r="K134" s="25"/>
    </row>
    <row r="135" spans="1:11" ht="25" x14ac:dyDescent="0.25">
      <c r="A135" s="200"/>
      <c r="B135" s="122"/>
      <c r="C135" s="54" t="s">
        <v>163</v>
      </c>
      <c r="D135"/>
      <c r="E135"/>
      <c r="F135"/>
      <c r="G135"/>
      <c r="H135" s="62">
        <v>2395</v>
      </c>
      <c r="I135" s="130"/>
      <c r="J135" s="25"/>
      <c r="K135" s="25"/>
    </row>
    <row r="136" spans="1:11" ht="25.5" thickBot="1" x14ac:dyDescent="0.3">
      <c r="A136" s="201"/>
      <c r="B136" s="123"/>
      <c r="C136" s="116" t="s">
        <v>167</v>
      </c>
      <c r="D136" s="117"/>
      <c r="E136" s="117"/>
      <c r="F136" s="117"/>
      <c r="G136" s="117"/>
      <c r="H136" s="128">
        <v>2650</v>
      </c>
      <c r="I136" s="129"/>
      <c r="J136" s="25"/>
      <c r="K136" s="25"/>
    </row>
    <row r="137" spans="1:11" ht="25" x14ac:dyDescent="0.25">
      <c r="A137" s="205" t="s">
        <v>118</v>
      </c>
      <c r="B137" s="124"/>
      <c r="C137" s="120" t="s">
        <v>114</v>
      </c>
      <c r="D137" s="115"/>
      <c r="E137" s="115"/>
      <c r="F137" s="115" t="s">
        <v>92</v>
      </c>
      <c r="G137" s="115"/>
      <c r="H137" s="126">
        <v>395</v>
      </c>
      <c r="I137" s="127" t="str">
        <f>IF(B137&gt;0,B137*H137,"")</f>
        <v/>
      </c>
      <c r="J137" s="25"/>
      <c r="K137" s="25"/>
    </row>
    <row r="138" spans="1:11" ht="25.5" thickBot="1" x14ac:dyDescent="0.3">
      <c r="A138" s="206"/>
      <c r="B138" s="125"/>
      <c r="C138" s="3" t="s">
        <v>119</v>
      </c>
      <c r="D138"/>
      <c r="E138"/>
      <c r="F138"/>
      <c r="G138"/>
      <c r="H138" s="62">
        <v>199</v>
      </c>
      <c r="I138" s="130" t="str">
        <f>IF(B138&gt;0,B138*H138,"")</f>
        <v/>
      </c>
      <c r="J138" s="25"/>
      <c r="K138" s="25"/>
    </row>
    <row r="139" spans="1:11" ht="13.5" thickBot="1" x14ac:dyDescent="0.35">
      <c r="A139" s="44" t="s">
        <v>48</v>
      </c>
      <c r="B139" s="32"/>
      <c r="C139" s="32"/>
      <c r="D139" s="32"/>
      <c r="E139" s="32"/>
      <c r="F139" s="32" t="str">
        <f>IF(B139&gt;0,B139*D139,"")</f>
        <v/>
      </c>
      <c r="G139" s="32">
        <f>SUM(F126:F138)</f>
        <v>0</v>
      </c>
      <c r="H139" s="33"/>
      <c r="I139" s="32"/>
      <c r="J139" s="33"/>
      <c r="K139" s="34">
        <f>SUM(I127:I138)</f>
        <v>0</v>
      </c>
    </row>
    <row r="140" spans="1:11" ht="13.5" thickBot="1" x14ac:dyDescent="0.35">
      <c r="A140" s="16"/>
      <c r="B140" s="8"/>
      <c r="C140" s="8"/>
      <c r="H140" s="25"/>
      <c r="I140" s="8"/>
      <c r="J140" s="25"/>
      <c r="K140" s="25"/>
    </row>
    <row r="141" spans="1:11" ht="37.5" x14ac:dyDescent="0.25">
      <c r="A141" s="202" t="s">
        <v>107</v>
      </c>
      <c r="B141" s="124" t="str">
        <f>IF(AND(CONDITION="USED",ENGINE="964"),1,"")</f>
        <v/>
      </c>
      <c r="C141" s="135" t="s">
        <v>184</v>
      </c>
      <c r="D141" s="119"/>
      <c r="E141" s="119"/>
      <c r="F141" s="119"/>
      <c r="G141" s="119"/>
      <c r="H141" s="136">
        <v>25990</v>
      </c>
      <c r="I141" s="127" t="str">
        <f t="shared" ref="I141:I159" si="4">IF(B141=1,B141*H141,"")</f>
        <v/>
      </c>
      <c r="J141" s="25"/>
      <c r="K141" s="25"/>
    </row>
    <row r="142" spans="1:11" ht="13" customHeight="1" x14ac:dyDescent="0.25">
      <c r="A142" s="203"/>
      <c r="B142" s="122" t="str">
        <f>IF(AND(CONDITION="USED",ENGINE="95"),1,"")</f>
        <v/>
      </c>
      <c r="C142" s="137" t="s">
        <v>106</v>
      </c>
      <c r="H142" s="133">
        <v>28990</v>
      </c>
      <c r="I142" s="130" t="str">
        <f t="shared" si="4"/>
        <v/>
      </c>
      <c r="J142" s="25"/>
      <c r="K142" s="25"/>
    </row>
    <row r="143" spans="1:11" ht="25.5" x14ac:dyDescent="0.25">
      <c r="A143" s="203"/>
      <c r="B143" s="122" t="str">
        <f>IF(AND(CONDITION="USED",ENGINE="VRUS"),1,"")</f>
        <v/>
      </c>
      <c r="C143" s="138" t="s">
        <v>160</v>
      </c>
      <c r="D143"/>
      <c r="E143"/>
      <c r="F143"/>
      <c r="G143"/>
      <c r="H143" s="133">
        <f>H142+3000</f>
        <v>31990</v>
      </c>
      <c r="I143" s="130" t="str">
        <f>IF(B143=1,B143*H143,"")</f>
        <v/>
      </c>
      <c r="J143" s="25"/>
      <c r="K143" s="25"/>
    </row>
    <row r="144" spans="1:11" ht="13.5" thickBot="1" x14ac:dyDescent="0.35">
      <c r="A144" s="204"/>
      <c r="B144" s="123" t="str">
        <f>IF(AND(CONDITION="USED",ENGINE="VREURO"),1,"")</f>
        <v/>
      </c>
      <c r="C144" s="139" t="s">
        <v>110</v>
      </c>
      <c r="D144" s="117"/>
      <c r="E144" s="117"/>
      <c r="F144" s="117"/>
      <c r="G144" s="117"/>
      <c r="H144" s="140">
        <f>H143+2000</f>
        <v>33990</v>
      </c>
      <c r="I144" s="129" t="str">
        <f t="shared" si="4"/>
        <v/>
      </c>
      <c r="J144" s="25"/>
      <c r="K144" s="25"/>
    </row>
    <row r="145" spans="1:11" ht="25.5" x14ac:dyDescent="0.3">
      <c r="A145" s="202" t="s">
        <v>108</v>
      </c>
      <c r="B145" s="124" t="str">
        <f>IF(AND(CONDITION="TOP",ENGINE="964"),1,"")</f>
        <v/>
      </c>
      <c r="C145" s="135" t="s">
        <v>187</v>
      </c>
      <c r="D145" s="118">
        <v>5000</v>
      </c>
      <c r="E145" s="118"/>
      <c r="F145" s="118"/>
      <c r="G145" s="118"/>
      <c r="H145" s="141">
        <f>H141+TopCost</f>
        <v>30990</v>
      </c>
      <c r="I145" s="127" t="str">
        <f t="shared" si="4"/>
        <v/>
      </c>
      <c r="J145" s="25"/>
      <c r="K145" s="25"/>
    </row>
    <row r="146" spans="1:11" ht="25" x14ac:dyDescent="0.25">
      <c r="A146" s="203"/>
      <c r="B146" s="122" t="str">
        <f>IF(AND(CONDITION="TOP",ENGINE="95"),1,"")</f>
        <v/>
      </c>
      <c r="C146" s="137" t="s">
        <v>111</v>
      </c>
      <c r="D146"/>
      <c r="E146"/>
      <c r="F146"/>
      <c r="G146"/>
      <c r="H146" s="134">
        <f>H142+TopCost</f>
        <v>33990</v>
      </c>
      <c r="I146" s="130" t="str">
        <f t="shared" si="4"/>
        <v/>
      </c>
      <c r="J146" s="25"/>
      <c r="K146" s="25"/>
    </row>
    <row r="147" spans="1:11" ht="25.5" x14ac:dyDescent="0.25">
      <c r="A147" s="203"/>
      <c r="B147" s="122" t="str">
        <f>IF(AND(CONDITION="TOP",ENGINE="VRUS"),1,"")</f>
        <v/>
      </c>
      <c r="C147" s="137" t="s">
        <v>141</v>
      </c>
      <c r="D147"/>
      <c r="E147"/>
      <c r="F147"/>
      <c r="G147"/>
      <c r="H147" s="134">
        <f>H143+TopCost</f>
        <v>36990</v>
      </c>
      <c r="I147" s="130" t="str">
        <f t="shared" si="4"/>
        <v/>
      </c>
      <c r="J147" s="36"/>
      <c r="K147" s="26"/>
    </row>
    <row r="148" spans="1:11" ht="39" thickBot="1" x14ac:dyDescent="0.3">
      <c r="A148" s="204"/>
      <c r="B148" s="123" t="str">
        <f>IF(AND(CONDITION="TOP",ENGINE="VREURO"),1,"")</f>
        <v/>
      </c>
      <c r="C148" s="139" t="s">
        <v>113</v>
      </c>
      <c r="D148" s="117"/>
      <c r="E148" s="117"/>
      <c r="F148" s="117"/>
      <c r="G148" s="117"/>
      <c r="H148" s="142">
        <f>H144+TopCost</f>
        <v>38990</v>
      </c>
      <c r="I148" s="129" t="str">
        <f t="shared" si="4"/>
        <v/>
      </c>
      <c r="J148" s="36"/>
      <c r="K148" s="26"/>
    </row>
    <row r="149" spans="1:11" ht="25.5" x14ac:dyDescent="0.25">
      <c r="A149" s="202" t="s">
        <v>109</v>
      </c>
      <c r="B149" s="124" t="str">
        <f>IF(AND(CONDITION="FULL",ENGINE="964"),1,"")</f>
        <v/>
      </c>
      <c r="C149" s="135" t="s">
        <v>188</v>
      </c>
      <c r="D149" s="115">
        <v>3000</v>
      </c>
      <c r="E149" s="115"/>
      <c r="F149" s="115"/>
      <c r="G149" s="115"/>
      <c r="H149" s="143">
        <f>BottomCost+H145</f>
        <v>33990</v>
      </c>
      <c r="I149" s="127" t="str">
        <f t="shared" si="4"/>
        <v/>
      </c>
      <c r="J149" s="36"/>
      <c r="K149" s="26"/>
    </row>
    <row r="150" spans="1:11" ht="39" x14ac:dyDescent="0.3">
      <c r="A150" s="203"/>
      <c r="B150" s="122" t="str">
        <f>IF(AND(CONDITION="FULL",ENGINE="95"),1,"")</f>
        <v/>
      </c>
      <c r="C150" s="138" t="s">
        <v>243</v>
      </c>
      <c r="D150">
        <v>3000</v>
      </c>
      <c r="E150"/>
      <c r="F150"/>
      <c r="G150"/>
      <c r="H150" s="133">
        <f>Bottom993+H146</f>
        <v>36990</v>
      </c>
      <c r="I150" s="130" t="str">
        <f t="shared" si="4"/>
        <v/>
      </c>
      <c r="J150" s="36"/>
      <c r="K150" s="26"/>
    </row>
    <row r="151" spans="1:11" ht="38" x14ac:dyDescent="0.25">
      <c r="A151" s="203"/>
      <c r="B151" s="122" t="str">
        <f>IF(AND(CONDITION="FULL",ENGINE="VRUS"),1,"")</f>
        <v/>
      </c>
      <c r="C151" s="137" t="s">
        <v>142</v>
      </c>
      <c r="D151"/>
      <c r="E151"/>
      <c r="F151"/>
      <c r="G151"/>
      <c r="H151" s="133">
        <f>Bottom993+H147</f>
        <v>39990</v>
      </c>
      <c r="I151" s="130" t="str">
        <f t="shared" si="4"/>
        <v/>
      </c>
      <c r="J151" s="36"/>
      <c r="K151" s="26"/>
    </row>
    <row r="152" spans="1:11" ht="38.5" thickBot="1" x14ac:dyDescent="0.3">
      <c r="A152" s="204"/>
      <c r="B152" s="123" t="str">
        <f>IF(AND(CONDITION="FULL",ENGINE="VREURO"),1,"")</f>
        <v/>
      </c>
      <c r="C152" s="139" t="s">
        <v>112</v>
      </c>
      <c r="D152" s="117"/>
      <c r="E152" s="117"/>
      <c r="F152" s="117"/>
      <c r="G152" s="117"/>
      <c r="H152" s="140">
        <f>Bottom993+H148</f>
        <v>41990</v>
      </c>
      <c r="I152" s="129" t="str">
        <f t="shared" si="4"/>
        <v/>
      </c>
      <c r="J152" s="36"/>
      <c r="K152" s="26"/>
    </row>
    <row r="153" spans="1:11" x14ac:dyDescent="0.25">
      <c r="A153" s="202" t="s">
        <v>196</v>
      </c>
      <c r="B153" s="124"/>
      <c r="C153" s="197" t="s">
        <v>232</v>
      </c>
      <c r="D153" s="115"/>
      <c r="E153" s="115"/>
      <c r="F153" s="115"/>
      <c r="G153" s="115"/>
      <c r="H153" s="143">
        <v>384</v>
      </c>
      <c r="I153" s="127" t="str">
        <f t="shared" si="4"/>
        <v/>
      </c>
      <c r="J153" s="36"/>
      <c r="K153" s="26"/>
    </row>
    <row r="154" spans="1:11" x14ac:dyDescent="0.25">
      <c r="A154" s="203"/>
      <c r="B154" s="131"/>
      <c r="C154" s="198" t="s">
        <v>198</v>
      </c>
      <c r="D154"/>
      <c r="E154"/>
      <c r="F154"/>
      <c r="G154"/>
      <c r="H154" s="133">
        <v>350</v>
      </c>
      <c r="I154" s="130" t="str">
        <f t="shared" si="4"/>
        <v/>
      </c>
      <c r="J154" s="36"/>
      <c r="K154" s="26"/>
    </row>
    <row r="155" spans="1:11" x14ac:dyDescent="0.25">
      <c r="A155" s="203"/>
      <c r="B155" s="131"/>
      <c r="C155" s="198" t="s">
        <v>199</v>
      </c>
      <c r="D155"/>
      <c r="E155"/>
      <c r="F155"/>
      <c r="G155"/>
      <c r="H155" s="133">
        <v>350</v>
      </c>
      <c r="I155" s="130" t="str">
        <f t="shared" si="4"/>
        <v/>
      </c>
      <c r="J155" s="36"/>
      <c r="K155" s="26"/>
    </row>
    <row r="156" spans="1:11" x14ac:dyDescent="0.25">
      <c r="A156" s="203"/>
      <c r="B156" s="131"/>
      <c r="C156" s="198" t="s">
        <v>197</v>
      </c>
      <c r="D156"/>
      <c r="E156"/>
      <c r="F156"/>
      <c r="G156"/>
      <c r="H156" s="133">
        <v>98</v>
      </c>
      <c r="I156" s="130" t="str">
        <f t="shared" si="4"/>
        <v/>
      </c>
      <c r="J156" s="36"/>
      <c r="K156" s="26"/>
    </row>
    <row r="157" spans="1:11" x14ac:dyDescent="0.25">
      <c r="A157" s="203"/>
      <c r="B157" s="131"/>
      <c r="C157" s="138" t="s">
        <v>201</v>
      </c>
      <c r="D157"/>
      <c r="E157"/>
      <c r="F157"/>
      <c r="G157"/>
      <c r="H157" s="133">
        <v>245</v>
      </c>
      <c r="I157" s="130" t="str">
        <f t="shared" si="4"/>
        <v/>
      </c>
      <c r="J157" s="36"/>
      <c r="K157" s="26"/>
    </row>
    <row r="158" spans="1:11" x14ac:dyDescent="0.25">
      <c r="A158" s="203"/>
      <c r="B158" s="131"/>
      <c r="C158" s="198" t="s">
        <v>233</v>
      </c>
      <c r="D158"/>
      <c r="E158"/>
      <c r="F158"/>
      <c r="G158"/>
      <c r="H158" s="133">
        <v>395</v>
      </c>
      <c r="I158" s="130" t="str">
        <f t="shared" si="4"/>
        <v/>
      </c>
      <c r="J158" s="36"/>
      <c r="K158" s="26"/>
    </row>
    <row r="159" spans="1:11" ht="13" thickBot="1" x14ac:dyDescent="0.3">
      <c r="A159" s="204"/>
      <c r="B159" s="132"/>
      <c r="C159" s="144" t="s">
        <v>200</v>
      </c>
      <c r="D159" s="117"/>
      <c r="E159" s="117"/>
      <c r="F159" s="117"/>
      <c r="G159" s="117"/>
      <c r="H159" s="140">
        <v>499</v>
      </c>
      <c r="I159" s="129" t="str">
        <f t="shared" si="4"/>
        <v/>
      </c>
      <c r="J159" s="36"/>
      <c r="K159" s="26"/>
    </row>
    <row r="160" spans="1:11" x14ac:dyDescent="0.25">
      <c r="A160" s="145"/>
      <c r="B160" s="146">
        <v>1</v>
      </c>
      <c r="C160" s="147" t="s">
        <v>45</v>
      </c>
      <c r="D160" s="119"/>
      <c r="E160" s="119"/>
      <c r="F160" s="119"/>
      <c r="G160" s="119"/>
      <c r="H160" s="148"/>
      <c r="I160" s="149"/>
      <c r="J160" s="36"/>
      <c r="K160" s="26"/>
    </row>
    <row r="161" spans="1:11" x14ac:dyDescent="0.25">
      <c r="A161" s="150"/>
      <c r="B161" s="39">
        <f>B160</f>
        <v>1</v>
      </c>
      <c r="C161" s="17" t="s">
        <v>44</v>
      </c>
      <c r="H161" s="58"/>
      <c r="I161" s="151"/>
      <c r="J161" s="36"/>
      <c r="K161" s="26"/>
    </row>
    <row r="162" spans="1:11" ht="13" thickBot="1" x14ac:dyDescent="0.3">
      <c r="A162" s="152"/>
      <c r="B162" s="153" t="str">
        <f>IF(OR(B146=1,B148=1,B152=1),1,"")</f>
        <v/>
      </c>
      <c r="C162" s="154" t="s">
        <v>71</v>
      </c>
      <c r="D162" s="46"/>
      <c r="E162" s="46"/>
      <c r="F162" s="46"/>
      <c r="G162" s="46"/>
      <c r="H162" s="155"/>
      <c r="I162" s="156"/>
      <c r="J162" s="36"/>
      <c r="K162" s="26"/>
    </row>
    <row r="163" spans="1:11" ht="13" thickBot="1" x14ac:dyDescent="0.3">
      <c r="F163" s="8" t="str">
        <f t="shared" ref="F163:F177" si="5">IF(B163&gt;0,B163*D163,"")</f>
        <v/>
      </c>
      <c r="H163" s="25"/>
      <c r="I163" s="36"/>
      <c r="J163" s="36"/>
      <c r="K163" s="36"/>
    </row>
    <row r="164" spans="1:11" ht="13.5" thickBot="1" x14ac:dyDescent="0.35">
      <c r="A164" s="44" t="s">
        <v>26</v>
      </c>
      <c r="B164" s="30"/>
      <c r="C164" s="31"/>
      <c r="D164" s="32"/>
      <c r="F164" s="8" t="str">
        <f t="shared" si="5"/>
        <v/>
      </c>
      <c r="G164" s="32"/>
      <c r="H164" s="33"/>
      <c r="I164" s="47"/>
      <c r="J164" s="33"/>
      <c r="K164" s="48">
        <f>SUM(I141:I159)</f>
        <v>0</v>
      </c>
    </row>
    <row r="165" spans="1:11" ht="13" x14ac:dyDescent="0.3">
      <c r="F165" s="8" t="str">
        <f t="shared" si="5"/>
        <v/>
      </c>
      <c r="K165" s="28"/>
    </row>
    <row r="166" spans="1:11" ht="13" x14ac:dyDescent="0.3">
      <c r="A166" s="16" t="s">
        <v>20</v>
      </c>
      <c r="B166" s="27">
        <v>1</v>
      </c>
      <c r="C166" s="17" t="s">
        <v>38</v>
      </c>
      <c r="F166" s="8">
        <f t="shared" si="5"/>
        <v>0</v>
      </c>
      <c r="H166" s="57"/>
      <c r="I166" s="26">
        <f>IF(B166&gt;0,B166*H166,"")</f>
        <v>0</v>
      </c>
    </row>
    <row r="167" spans="1:11" x14ac:dyDescent="0.25">
      <c r="B167" s="27"/>
      <c r="C167" s="17" t="s">
        <v>47</v>
      </c>
      <c r="F167" s="8" t="str">
        <f t="shared" si="5"/>
        <v/>
      </c>
      <c r="H167" s="57"/>
      <c r="I167" s="26" t="str">
        <f>IF(B167&gt;0,B167*H167,"")</f>
        <v/>
      </c>
      <c r="J167" s="26"/>
    </row>
    <row r="168" spans="1:11" x14ac:dyDescent="0.25">
      <c r="B168" s="27"/>
      <c r="C168" s="17" t="s">
        <v>46</v>
      </c>
      <c r="F168" s="8" t="str">
        <f t="shared" si="5"/>
        <v/>
      </c>
      <c r="H168" s="59">
        <v>55</v>
      </c>
      <c r="I168" s="26"/>
      <c r="J168" s="26"/>
    </row>
    <row r="169" spans="1:11" x14ac:dyDescent="0.25">
      <c r="B169" s="27"/>
      <c r="C169" s="17" t="s">
        <v>18</v>
      </c>
      <c r="F169" s="8" t="str">
        <f t="shared" si="5"/>
        <v/>
      </c>
      <c r="H169" s="22">
        <v>35</v>
      </c>
      <c r="I169" s="26" t="str">
        <f>IF(B169&gt;0,B169*H169,"")</f>
        <v/>
      </c>
      <c r="J169" s="26"/>
    </row>
    <row r="170" spans="1:11" ht="13" thickBot="1" x14ac:dyDescent="0.3">
      <c r="B170" s="27"/>
      <c r="C170" s="17" t="s">
        <v>19</v>
      </c>
      <c r="F170" s="8" t="str">
        <f t="shared" si="5"/>
        <v/>
      </c>
      <c r="H170" s="22">
        <v>65</v>
      </c>
      <c r="I170" s="26" t="str">
        <f>IF(B170&gt;0,B170*H170,"")</f>
        <v/>
      </c>
      <c r="J170" s="26"/>
    </row>
    <row r="171" spans="1:11" ht="13.5" thickBot="1" x14ac:dyDescent="0.35">
      <c r="A171" s="44" t="s">
        <v>39</v>
      </c>
      <c r="B171" s="30"/>
      <c r="C171" s="31"/>
      <c r="D171" s="32"/>
      <c r="F171" s="8" t="str">
        <f t="shared" si="5"/>
        <v/>
      </c>
      <c r="G171" s="32"/>
      <c r="H171" s="33"/>
      <c r="I171" s="33"/>
      <c r="J171" s="33"/>
      <c r="K171" s="48">
        <f>SUM(I166:I170)</f>
        <v>0</v>
      </c>
    </row>
    <row r="172" spans="1:11" ht="13" thickBot="1" x14ac:dyDescent="0.3">
      <c r="F172" s="8" t="str">
        <f t="shared" si="5"/>
        <v/>
      </c>
    </row>
    <row r="173" spans="1:11" ht="13.5" thickBot="1" x14ac:dyDescent="0.35">
      <c r="B173" s="8"/>
      <c r="C173" s="8"/>
      <c r="F173" s="8" t="str">
        <f t="shared" si="5"/>
        <v/>
      </c>
      <c r="G173" s="8">
        <f>SUM(F31:F171)</f>
        <v>2128</v>
      </c>
      <c r="K173" s="49">
        <f>SUM(K107:K171)</f>
        <v>3575</v>
      </c>
    </row>
    <row r="174" spans="1:11" x14ac:dyDescent="0.25">
      <c r="F174" s="8" t="str">
        <f t="shared" si="5"/>
        <v/>
      </c>
    </row>
    <row r="175" spans="1:11" x14ac:dyDescent="0.25">
      <c r="B175" s="27"/>
      <c r="C175" s="17" t="s">
        <v>73</v>
      </c>
      <c r="F175" s="8" t="str">
        <f t="shared" si="5"/>
        <v/>
      </c>
      <c r="K175" s="8" t="str">
        <f>IF(B175=1,B175*0.03,"")</f>
        <v/>
      </c>
    </row>
    <row r="176" spans="1:11" x14ac:dyDescent="0.25">
      <c r="C176" s="17" t="s">
        <v>74</v>
      </c>
      <c r="F176" s="8" t="str">
        <f t="shared" si="5"/>
        <v/>
      </c>
      <c r="K176" s="38">
        <f>K173</f>
        <v>3575</v>
      </c>
    </row>
    <row r="177" spans="3:11" x14ac:dyDescent="0.25">
      <c r="C177" s="17" t="s">
        <v>75</v>
      </c>
      <c r="F177" s="8" t="str">
        <f t="shared" si="5"/>
        <v/>
      </c>
      <c r="K177" s="50"/>
    </row>
    <row r="178" spans="3:11" x14ac:dyDescent="0.25">
      <c r="K178" s="51"/>
    </row>
    <row r="179" spans="3:11" x14ac:dyDescent="0.25">
      <c r="K179" s="52"/>
    </row>
    <row r="182" spans="3:11" x14ac:dyDescent="0.25">
      <c r="C182" s="17" t="s">
        <v>76</v>
      </c>
      <c r="K182" s="53">
        <f>K176-K177-K178-K179</f>
        <v>3575</v>
      </c>
    </row>
  </sheetData>
  <sheetProtection algorithmName="SHA-512" hashValue="m/Tnrt+ycEG8PagM2nDfAczlCkCOGhQlWBw97jBTBW77CV/HWVtMrq1nDz9EluRedxyvb6VuowdGMGb7kKjiYQ==" saltValue="JozBb+cATGqFABM5i7MuOg==" spinCount="100000" sheet="1" selectLockedCells="1"/>
  <mergeCells count="6">
    <mergeCell ref="A127:A136"/>
    <mergeCell ref="A153:A159"/>
    <mergeCell ref="A137:A138"/>
    <mergeCell ref="A149:A152"/>
    <mergeCell ref="A145:A148"/>
    <mergeCell ref="A141:A144"/>
  </mergeCells>
  <phoneticPr fontId="45" type="noConversion"/>
  <hyperlinks>
    <hyperlink ref="C153" r:id="rId1" xr:uid="{CCE1C52E-EAAE-4C24-A25B-FDD611981F6B}"/>
    <hyperlink ref="C154" r:id="rId2" xr:uid="{FDA4F1AE-5862-4E9F-B8E6-C63988722A64}"/>
    <hyperlink ref="C155" r:id="rId3" xr:uid="{1FC0D4F1-683D-4AE2-B08C-E7A879269E0E}"/>
    <hyperlink ref="C156" r:id="rId4" xr:uid="{B82F0413-A4E8-49D1-BD0A-8E2A18939434}"/>
    <hyperlink ref="C158" r:id="rId5" display="Automobile Associates Coated Rod Bearings Upgrade(Retail $589)" xr:uid="{EDD313D7-4076-4376-BCE4-6C820C194AB4}"/>
  </hyperlinks>
  <printOptions horizontalCentered="1"/>
  <pageMargins left="0.25" right="0.25" top="0.5" bottom="0.5" header="0" footer="0"/>
  <pageSetup scale="74" fitToHeight="0" orientation="portrait" r:id="rId6"/>
  <headerFooter alignWithMargins="0"/>
  <ignoredErrors>
    <ignoredError sqref="B63:B65 B142:B144 B151:B152 B161:B162 B146:B148" unlockedFormula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FFC01-C7E3-4B33-AA65-292932971692}">
  <sheetPr>
    <pageSetUpPr fitToPage="1"/>
  </sheetPr>
  <dimension ref="A1:M163"/>
  <sheetViews>
    <sheetView workbookViewId="0"/>
  </sheetViews>
  <sheetFormatPr defaultColWidth="9" defaultRowHeight="12.5" x14ac:dyDescent="0.25"/>
  <cols>
    <col min="1" max="1" width="21.81640625" style="69" customWidth="1"/>
    <col min="2" max="2" width="3.1796875" style="67" customWidth="1"/>
    <col min="3" max="3" width="58.453125" style="80" bestFit="1" customWidth="1"/>
    <col min="4" max="4" width="5.453125" style="69" hidden="1" customWidth="1"/>
    <col min="5" max="5" width="1.453125" style="69" hidden="1" customWidth="1"/>
    <col min="6" max="6" width="2.54296875" style="69" hidden="1" customWidth="1"/>
    <col min="7" max="7" width="7.26953125" style="69" customWidth="1"/>
    <col min="8" max="8" width="8.1796875" style="69" customWidth="1"/>
    <col min="9" max="9" width="9.26953125" style="70" bestFit="1" customWidth="1"/>
    <col min="10" max="10" width="9.453125" style="71" bestFit="1" customWidth="1"/>
    <col min="11" max="11" width="10.26953125" style="71" bestFit="1" customWidth="1"/>
    <col min="12" max="12" width="10.26953125" style="69" bestFit="1" customWidth="1"/>
    <col min="13" max="16384" width="9" style="69"/>
  </cols>
  <sheetData>
    <row r="1" spans="1:12" ht="22.5" thickBot="1" x14ac:dyDescent="0.45">
      <c r="A1" s="66" t="s">
        <v>103</v>
      </c>
      <c r="C1" s="68" t="s">
        <v>29</v>
      </c>
    </row>
    <row r="2" spans="1:12" ht="13" thickBot="1" x14ac:dyDescent="0.3">
      <c r="A2" s="72">
        <v>1982</v>
      </c>
      <c r="C2" s="73" t="s">
        <v>30</v>
      </c>
    </row>
    <row r="3" spans="1:12" ht="13" x14ac:dyDescent="0.3">
      <c r="A3" s="66" t="s">
        <v>42</v>
      </c>
      <c r="C3" s="74" t="s">
        <v>31</v>
      </c>
    </row>
    <row r="4" spans="1:12" ht="13" x14ac:dyDescent="0.3">
      <c r="A4" s="75"/>
      <c r="C4" s="74" t="s">
        <v>13</v>
      </c>
    </row>
    <row r="5" spans="1:12" ht="13.5" thickBot="1" x14ac:dyDescent="0.35">
      <c r="A5" s="76" t="s">
        <v>43</v>
      </c>
      <c r="C5" s="74" t="s">
        <v>32</v>
      </c>
    </row>
    <row r="6" spans="1:12" ht="13.5" thickBot="1" x14ac:dyDescent="0.35">
      <c r="A6" s="76" t="s">
        <v>40</v>
      </c>
      <c r="C6" s="74" t="s">
        <v>33</v>
      </c>
    </row>
    <row r="7" spans="1:12" ht="16" thickBot="1" x14ac:dyDescent="0.4">
      <c r="A7" s="72" t="s">
        <v>41</v>
      </c>
      <c r="C7" s="77" t="s">
        <v>34</v>
      </c>
    </row>
    <row r="8" spans="1:12" ht="15" x14ac:dyDescent="0.3">
      <c r="C8" s="78" t="s">
        <v>35</v>
      </c>
    </row>
    <row r="9" spans="1:12" ht="13" x14ac:dyDescent="0.3">
      <c r="A9" s="79" t="s">
        <v>157</v>
      </c>
      <c r="G9" s="207"/>
      <c r="H9" s="208"/>
      <c r="I9" s="207"/>
      <c r="J9" s="207"/>
    </row>
    <row r="10" spans="1:12" ht="13" x14ac:dyDescent="0.3">
      <c r="A10" s="79"/>
      <c r="G10" s="105"/>
      <c r="H10" s="106"/>
      <c r="I10" s="105"/>
      <c r="J10" s="105"/>
    </row>
    <row r="11" spans="1:12" ht="25" x14ac:dyDescent="0.25">
      <c r="G11" s="81">
        <v>964</v>
      </c>
      <c r="H11" s="107" t="s">
        <v>178</v>
      </c>
      <c r="I11" s="107" t="s">
        <v>179</v>
      </c>
      <c r="J11" s="81"/>
    </row>
    <row r="12" spans="1:12" x14ac:dyDescent="0.25">
      <c r="A12" s="69" t="s">
        <v>0</v>
      </c>
      <c r="B12" s="82"/>
      <c r="C12" s="80" t="s">
        <v>80</v>
      </c>
      <c r="D12" s="69">
        <v>6</v>
      </c>
      <c r="E12" s="69" t="str">
        <f t="shared" ref="E12:E35" si="0">IF(B12&gt;0,B12*D12,"")</f>
        <v/>
      </c>
      <c r="G12" s="71">
        <v>39</v>
      </c>
      <c r="H12" s="71"/>
      <c r="J12" s="71" t="str">
        <f>IF(B12&gt;0,B12*SUM(G12:I12),"")</f>
        <v/>
      </c>
      <c r="L12" s="83"/>
    </row>
    <row r="13" spans="1:12" x14ac:dyDescent="0.25">
      <c r="A13" s="69" t="s">
        <v>1</v>
      </c>
      <c r="B13" s="82"/>
      <c r="C13" s="80" t="s">
        <v>81</v>
      </c>
      <c r="D13" s="69">
        <v>25</v>
      </c>
      <c r="E13" s="69" t="str">
        <f t="shared" si="0"/>
        <v/>
      </c>
      <c r="G13" s="71">
        <v>79</v>
      </c>
      <c r="H13" s="71"/>
      <c r="J13" s="71" t="str">
        <f t="shared" ref="J13:J39" si="1">IF(B13&gt;0,B13*SUM(G13:I13),"")</f>
        <v/>
      </c>
    </row>
    <row r="14" spans="1:12" x14ac:dyDescent="0.25">
      <c r="A14" s="69" t="s">
        <v>5</v>
      </c>
      <c r="B14" s="82"/>
      <c r="C14" s="80" t="s">
        <v>63</v>
      </c>
      <c r="E14" s="69" t="str">
        <f t="shared" si="0"/>
        <v/>
      </c>
      <c r="G14" s="71">
        <v>50</v>
      </c>
      <c r="H14" s="71"/>
      <c r="J14" s="71" t="str">
        <f t="shared" si="1"/>
        <v/>
      </c>
    </row>
    <row r="15" spans="1:12" x14ac:dyDescent="0.25">
      <c r="A15" s="69" t="s">
        <v>6</v>
      </c>
      <c r="B15" s="82"/>
      <c r="C15" s="80" t="s">
        <v>64</v>
      </c>
      <c r="E15" s="69" t="str">
        <f t="shared" si="0"/>
        <v/>
      </c>
      <c r="F15" s="84"/>
      <c r="G15" s="71">
        <v>150</v>
      </c>
      <c r="H15" s="71"/>
      <c r="J15" s="71" t="str">
        <f t="shared" si="1"/>
        <v/>
      </c>
    </row>
    <row r="16" spans="1:12" x14ac:dyDescent="0.25">
      <c r="E16" s="69" t="str">
        <f t="shared" si="0"/>
        <v/>
      </c>
      <c r="F16" s="69">
        <f>SUM(E12:E15)</f>
        <v>0</v>
      </c>
      <c r="H16" s="71"/>
      <c r="J16" s="71" t="str">
        <f t="shared" si="1"/>
        <v/>
      </c>
    </row>
    <row r="17" spans="1:12" x14ac:dyDescent="0.25">
      <c r="A17" s="69" t="s">
        <v>3</v>
      </c>
      <c r="B17" s="82"/>
      <c r="C17" s="80" t="s">
        <v>14</v>
      </c>
      <c r="D17" s="69">
        <v>285</v>
      </c>
      <c r="E17" s="69" t="str">
        <f>IF(B17=1,D17,"")</f>
        <v/>
      </c>
      <c r="G17" s="71">
        <v>629</v>
      </c>
      <c r="H17" s="71"/>
      <c r="J17" s="71" t="str">
        <f t="shared" si="1"/>
        <v/>
      </c>
    </row>
    <row r="18" spans="1:12" ht="25" x14ac:dyDescent="0.25">
      <c r="B18" s="82"/>
      <c r="C18" s="80" t="s">
        <v>177</v>
      </c>
      <c r="D18" s="69">
        <v>485</v>
      </c>
      <c r="E18" s="69" t="str">
        <f>IF(B18&gt;0,B18*D18,"")</f>
        <v/>
      </c>
      <c r="I18" s="69">
        <v>200</v>
      </c>
      <c r="J18" s="71" t="str">
        <f t="shared" si="1"/>
        <v/>
      </c>
    </row>
    <row r="19" spans="1:12" x14ac:dyDescent="0.25">
      <c r="B19" s="82"/>
      <c r="C19" s="80" t="s">
        <v>8</v>
      </c>
      <c r="D19" s="69">
        <v>9</v>
      </c>
      <c r="E19" s="69" t="str">
        <f t="shared" si="0"/>
        <v/>
      </c>
      <c r="G19" s="70">
        <v>28</v>
      </c>
      <c r="H19" s="71"/>
      <c r="J19" s="71" t="str">
        <f t="shared" si="1"/>
        <v/>
      </c>
    </row>
    <row r="20" spans="1:12" x14ac:dyDescent="0.25">
      <c r="B20" s="82"/>
      <c r="C20" s="80" t="s">
        <v>12</v>
      </c>
      <c r="D20" s="69">
        <v>4</v>
      </c>
      <c r="E20" s="69" t="str">
        <f t="shared" si="0"/>
        <v/>
      </c>
      <c r="G20" s="70">
        <v>23</v>
      </c>
      <c r="H20" s="71"/>
      <c r="J20" s="71" t="str">
        <f t="shared" si="1"/>
        <v/>
      </c>
    </row>
    <row r="21" spans="1:12" x14ac:dyDescent="0.25">
      <c r="B21" s="82"/>
      <c r="C21" s="80" t="s">
        <v>9</v>
      </c>
      <c r="D21" s="69">
        <v>12</v>
      </c>
      <c r="E21" s="69" t="str">
        <f t="shared" si="0"/>
        <v/>
      </c>
      <c r="F21" s="84"/>
      <c r="G21" s="70">
        <v>22</v>
      </c>
      <c r="H21" s="71"/>
      <c r="J21" s="71" t="str">
        <f t="shared" si="1"/>
        <v/>
      </c>
    </row>
    <row r="22" spans="1:12" x14ac:dyDescent="0.25">
      <c r="E22" s="69" t="str">
        <f t="shared" si="0"/>
        <v/>
      </c>
      <c r="F22" s="69">
        <f>SUM(E17:E21)</f>
        <v>0</v>
      </c>
      <c r="H22" s="71"/>
      <c r="J22" s="71" t="str">
        <f t="shared" si="1"/>
        <v/>
      </c>
    </row>
    <row r="23" spans="1:12" x14ac:dyDescent="0.25">
      <c r="A23" s="69" t="s">
        <v>2</v>
      </c>
      <c r="B23" s="82"/>
      <c r="C23" s="80" t="s">
        <v>56</v>
      </c>
      <c r="D23" s="69">
        <v>160</v>
      </c>
      <c r="E23" s="69" t="str">
        <f t="shared" si="0"/>
        <v/>
      </c>
      <c r="G23" s="108">
        <v>629</v>
      </c>
      <c r="H23" s="71"/>
      <c r="J23" s="71" t="str">
        <f t="shared" si="1"/>
        <v/>
      </c>
    </row>
    <row r="24" spans="1:12" x14ac:dyDescent="0.25">
      <c r="B24" s="82"/>
      <c r="C24" s="80" t="s">
        <v>175</v>
      </c>
      <c r="H24" s="89">
        <v>30</v>
      </c>
      <c r="J24" s="71" t="str">
        <f t="shared" si="1"/>
        <v/>
      </c>
    </row>
    <row r="25" spans="1:12" x14ac:dyDescent="0.25">
      <c r="B25" s="86"/>
      <c r="C25" s="80" t="s">
        <v>10</v>
      </c>
      <c r="E25" s="69" t="str">
        <f t="shared" si="0"/>
        <v/>
      </c>
      <c r="G25" s="70" t="s">
        <v>158</v>
      </c>
      <c r="H25" s="71"/>
      <c r="J25" s="71" t="str">
        <f t="shared" si="1"/>
        <v/>
      </c>
    </row>
    <row r="26" spans="1:12" x14ac:dyDescent="0.25">
      <c r="E26" s="69" t="str">
        <f t="shared" si="0"/>
        <v/>
      </c>
      <c r="F26" s="69">
        <f>SUM(E23:E25)</f>
        <v>0</v>
      </c>
      <c r="H26" s="71"/>
      <c r="J26" s="71" t="str">
        <f t="shared" si="1"/>
        <v/>
      </c>
    </row>
    <row r="27" spans="1:12" x14ac:dyDescent="0.25">
      <c r="A27" s="69" t="s">
        <v>11</v>
      </c>
      <c r="B27" s="87"/>
      <c r="C27" s="80" t="s">
        <v>95</v>
      </c>
      <c r="D27" s="69">
        <v>10</v>
      </c>
      <c r="E27" s="69" t="str">
        <f>IF(B27&gt;0,B27*D27,"")</f>
        <v/>
      </c>
      <c r="G27" s="71">
        <v>27</v>
      </c>
      <c r="H27" s="71"/>
      <c r="J27" s="71" t="str">
        <f t="shared" si="1"/>
        <v/>
      </c>
    </row>
    <row r="28" spans="1:12" x14ac:dyDescent="0.25">
      <c r="B28" s="87"/>
      <c r="C28" s="80" t="s">
        <v>94</v>
      </c>
      <c r="D28" s="69">
        <v>11</v>
      </c>
      <c r="E28" s="69" t="str">
        <f>IF(B28&gt;0,B28*D28,"")</f>
        <v/>
      </c>
      <c r="H28" s="71"/>
      <c r="J28" s="71" t="str">
        <f t="shared" si="1"/>
        <v/>
      </c>
    </row>
    <row r="29" spans="1:12" x14ac:dyDescent="0.25">
      <c r="B29" s="87"/>
      <c r="C29" s="80" t="s">
        <v>4</v>
      </c>
      <c r="D29" s="69">
        <v>50</v>
      </c>
      <c r="E29" s="69" t="str">
        <f t="shared" si="0"/>
        <v/>
      </c>
      <c r="G29" s="71">
        <v>95</v>
      </c>
      <c r="H29" s="71"/>
      <c r="J29" s="71" t="str">
        <f t="shared" si="1"/>
        <v/>
      </c>
      <c r="L29" s="83"/>
    </row>
    <row r="30" spans="1:12" x14ac:dyDescent="0.25">
      <c r="B30" s="87"/>
      <c r="C30" s="80" t="s">
        <v>88</v>
      </c>
      <c r="D30" s="69">
        <v>12</v>
      </c>
      <c r="E30" s="69" t="str">
        <f t="shared" si="0"/>
        <v/>
      </c>
      <c r="F30" s="84"/>
      <c r="G30" s="71">
        <v>65</v>
      </c>
      <c r="H30" s="71"/>
      <c r="J30" s="71" t="str">
        <f t="shared" si="1"/>
        <v/>
      </c>
      <c r="L30" s="83"/>
    </row>
    <row r="31" spans="1:12" x14ac:dyDescent="0.25">
      <c r="B31" s="87"/>
      <c r="C31" s="80" t="s">
        <v>173</v>
      </c>
      <c r="G31" s="71">
        <v>65</v>
      </c>
      <c r="H31" s="71"/>
      <c r="J31" s="71" t="str">
        <f t="shared" si="1"/>
        <v/>
      </c>
      <c r="L31" s="83"/>
    </row>
    <row r="32" spans="1:12" x14ac:dyDescent="0.25">
      <c r="B32" s="87"/>
      <c r="C32" s="80" t="s">
        <v>174</v>
      </c>
      <c r="G32" s="71">
        <v>65</v>
      </c>
      <c r="H32" s="71"/>
      <c r="J32" s="71" t="str">
        <f t="shared" si="1"/>
        <v/>
      </c>
      <c r="L32" s="83"/>
    </row>
    <row r="33" spans="1:12" x14ac:dyDescent="0.25">
      <c r="B33" s="88"/>
      <c r="G33" s="71"/>
      <c r="H33" s="71"/>
      <c r="J33" s="71" t="str">
        <f t="shared" si="1"/>
        <v/>
      </c>
      <c r="L33" s="83"/>
    </row>
    <row r="34" spans="1:12" x14ac:dyDescent="0.25">
      <c r="A34" s="69" t="s">
        <v>7</v>
      </c>
      <c r="B34" s="87"/>
      <c r="C34" s="80" t="s">
        <v>57</v>
      </c>
      <c r="E34" s="69" t="str">
        <f t="shared" si="0"/>
        <v/>
      </c>
      <c r="F34" s="69">
        <f>SUM(E28:E30)</f>
        <v>0</v>
      </c>
      <c r="G34" s="71">
        <v>99</v>
      </c>
      <c r="H34" s="71"/>
      <c r="J34" s="71" t="str">
        <f t="shared" si="1"/>
        <v/>
      </c>
    </row>
    <row r="35" spans="1:12" x14ac:dyDescent="0.25">
      <c r="B35" s="87"/>
      <c r="C35" s="80" t="s">
        <v>58</v>
      </c>
      <c r="D35" s="69">
        <v>15</v>
      </c>
      <c r="E35" s="69" t="str">
        <f t="shared" si="0"/>
        <v/>
      </c>
      <c r="G35" s="69">
        <v>99</v>
      </c>
      <c r="H35" s="71"/>
      <c r="J35" s="71" t="str">
        <f t="shared" si="1"/>
        <v/>
      </c>
    </row>
    <row r="36" spans="1:12" x14ac:dyDescent="0.25">
      <c r="B36" s="87"/>
      <c r="C36" s="80" t="s">
        <v>65</v>
      </c>
      <c r="G36" s="71">
        <v>35</v>
      </c>
      <c r="H36" s="71"/>
      <c r="J36" s="71" t="str">
        <f t="shared" si="1"/>
        <v/>
      </c>
    </row>
    <row r="37" spans="1:12" x14ac:dyDescent="0.25">
      <c r="B37" s="69"/>
      <c r="F37" s="84"/>
      <c r="H37" s="71"/>
      <c r="J37" s="71" t="str">
        <f t="shared" si="1"/>
        <v/>
      </c>
    </row>
    <row r="38" spans="1:12" x14ac:dyDescent="0.25">
      <c r="A38" s="69" t="s">
        <v>159</v>
      </c>
      <c r="B38" s="87"/>
      <c r="C38" s="80" t="s">
        <v>59</v>
      </c>
      <c r="D38" s="69">
        <v>80</v>
      </c>
      <c r="E38" s="69" t="str">
        <f t="shared" ref="E38:E40" si="2">IF(B38&gt;0,B38*D38,"")</f>
        <v/>
      </c>
      <c r="G38" s="89">
        <v>165</v>
      </c>
      <c r="H38" s="71"/>
      <c r="J38" s="71" t="str">
        <f t="shared" si="1"/>
        <v/>
      </c>
    </row>
    <row r="39" spans="1:12" x14ac:dyDescent="0.25">
      <c r="B39" s="87"/>
      <c r="C39" s="80" t="s">
        <v>176</v>
      </c>
      <c r="H39" s="89">
        <v>20</v>
      </c>
      <c r="J39" s="71" t="str">
        <f t="shared" si="1"/>
        <v/>
      </c>
    </row>
    <row r="40" spans="1:12" ht="13" thickBot="1" x14ac:dyDescent="0.3">
      <c r="E40" s="69" t="str">
        <f t="shared" si="2"/>
        <v/>
      </c>
      <c r="F40" s="69">
        <f>SUM(E38:E39)</f>
        <v>0</v>
      </c>
      <c r="I40" s="91"/>
      <c r="J40" s="92"/>
    </row>
    <row r="41" spans="1:12" ht="13" thickBot="1" x14ac:dyDescent="0.3">
      <c r="A41" s="93" t="s">
        <v>28</v>
      </c>
      <c r="B41" s="94"/>
      <c r="C41" s="95"/>
      <c r="D41" s="96">
        <f>SUM(D12:D39)-D18</f>
        <v>679</v>
      </c>
      <c r="F41" s="96">
        <f>SUM(F12:F40)</f>
        <v>0</v>
      </c>
      <c r="G41" s="97">
        <f>SUM(G12:G39)</f>
        <v>2364</v>
      </c>
      <c r="H41" s="97">
        <f>G41+SUM(H12:H40)</f>
        <v>2414</v>
      </c>
      <c r="I41" s="97">
        <f>H41+SUM(I12:I40)</f>
        <v>2614</v>
      </c>
      <c r="J41" s="110">
        <f>SUM(J12:J39)</f>
        <v>0</v>
      </c>
    </row>
    <row r="42" spans="1:12" ht="13" x14ac:dyDescent="0.25">
      <c r="C42" s="69"/>
      <c r="E42" s="69" t="str">
        <f>IF(B42&gt;0,B42*D42,"")</f>
        <v/>
      </c>
      <c r="G42" s="109">
        <v>964</v>
      </c>
      <c r="H42" s="109">
        <v>993</v>
      </c>
    </row>
    <row r="43" spans="1:12" ht="13" x14ac:dyDescent="0.3">
      <c r="A43" s="16" t="s">
        <v>21</v>
      </c>
      <c r="B43" s="27"/>
      <c r="C43" s="17" t="s">
        <v>90</v>
      </c>
      <c r="D43" s="8">
        <v>428</v>
      </c>
      <c r="E43" s="8"/>
      <c r="F43" s="8" t="s">
        <v>92</v>
      </c>
      <c r="G43" s="22">
        <v>699</v>
      </c>
      <c r="H43" s="22">
        <v>699</v>
      </c>
      <c r="I43" s="26" t="str">
        <f t="shared" ref="I43:I55" si="3">IF(B43&gt;0,B43*G43,"")</f>
        <v/>
      </c>
      <c r="J43" s="26"/>
    </row>
    <row r="44" spans="1:12" x14ac:dyDescent="0.25">
      <c r="A44" s="8"/>
      <c r="B44" s="27"/>
      <c r="C44" s="17" t="s">
        <v>72</v>
      </c>
      <c r="D44" s="8"/>
      <c r="E44" s="8"/>
      <c r="F44" s="8"/>
      <c r="G44" s="22">
        <v>1695</v>
      </c>
      <c r="H44" s="22">
        <v>1695</v>
      </c>
      <c r="I44" s="26" t="str">
        <f t="shared" si="3"/>
        <v/>
      </c>
      <c r="J44" s="26"/>
    </row>
    <row r="45" spans="1:12" x14ac:dyDescent="0.25">
      <c r="A45" s="8"/>
      <c r="B45" s="27"/>
      <c r="C45" s="54" t="s">
        <v>237</v>
      </c>
      <c r="D45" s="8">
        <v>150</v>
      </c>
      <c r="E45" s="8"/>
      <c r="F45" s="8">
        <v>150</v>
      </c>
      <c r="G45" s="22">
        <v>395</v>
      </c>
      <c r="I45" s="26" t="str">
        <f t="shared" si="3"/>
        <v/>
      </c>
      <c r="J45" s="26"/>
    </row>
    <row r="46" spans="1:12" x14ac:dyDescent="0.25">
      <c r="A46" s="8"/>
      <c r="B46" s="27"/>
      <c r="C46" s="54" t="s">
        <v>235</v>
      </c>
      <c r="D46" s="8">
        <v>150</v>
      </c>
      <c r="E46" s="8"/>
      <c r="F46" s="8" t="s">
        <v>92</v>
      </c>
      <c r="G46" s="8"/>
      <c r="H46" s="22">
        <v>475</v>
      </c>
      <c r="I46" s="26" t="str">
        <f t="shared" si="3"/>
        <v/>
      </c>
      <c r="J46" s="26"/>
    </row>
    <row r="47" spans="1:12" x14ac:dyDescent="0.25">
      <c r="A47" s="8"/>
      <c r="B47" s="27"/>
      <c r="C47" s="54" t="s">
        <v>236</v>
      </c>
      <c r="D47" s="8">
        <v>100</v>
      </c>
      <c r="E47" s="8"/>
      <c r="F47" s="8" t="s">
        <v>92</v>
      </c>
      <c r="G47" s="8"/>
      <c r="H47" s="22">
        <v>475</v>
      </c>
      <c r="I47" s="26" t="str">
        <f t="shared" si="3"/>
        <v/>
      </c>
      <c r="J47" s="26"/>
    </row>
    <row r="48" spans="1:12" x14ac:dyDescent="0.25">
      <c r="A48" s="8"/>
      <c r="B48" s="27"/>
      <c r="C48" s="17" t="s">
        <v>91</v>
      </c>
      <c r="D48" s="55">
        <v>100</v>
      </c>
      <c r="E48" s="8"/>
      <c r="F48" s="8" t="s">
        <v>92</v>
      </c>
      <c r="G48" s="8"/>
      <c r="H48" s="22">
        <v>995</v>
      </c>
      <c r="I48" s="26" t="str">
        <f t="shared" si="3"/>
        <v/>
      </c>
      <c r="J48" s="26"/>
    </row>
    <row r="49" spans="1:12" x14ac:dyDescent="0.25">
      <c r="A49" s="8"/>
      <c r="B49" s="27"/>
      <c r="C49" s="17" t="s">
        <v>70</v>
      </c>
      <c r="D49" s="8">
        <v>35</v>
      </c>
      <c r="E49" s="8"/>
      <c r="F49" s="8">
        <v>35</v>
      </c>
      <c r="G49" s="22">
        <v>89</v>
      </c>
      <c r="H49" s="22">
        <v>89</v>
      </c>
      <c r="I49" s="26" t="str">
        <f t="shared" si="3"/>
        <v/>
      </c>
      <c r="J49" s="26"/>
    </row>
    <row r="50" spans="1:12" x14ac:dyDescent="0.25">
      <c r="A50" s="8"/>
      <c r="B50" s="27"/>
      <c r="C50" s="54" t="s">
        <v>240</v>
      </c>
      <c r="D50" s="8"/>
      <c r="E50" s="8"/>
      <c r="F50" s="8"/>
      <c r="G50" s="22">
        <v>169</v>
      </c>
      <c r="I50" s="26" t="str">
        <f t="shared" si="3"/>
        <v/>
      </c>
      <c r="J50" s="26"/>
    </row>
    <row r="51" spans="1:12" x14ac:dyDescent="0.25">
      <c r="A51" s="8"/>
      <c r="B51" s="27"/>
      <c r="C51" s="17" t="s">
        <v>24</v>
      </c>
      <c r="D51" s="8">
        <v>35</v>
      </c>
      <c r="E51" s="8"/>
      <c r="F51" s="8">
        <v>35</v>
      </c>
      <c r="G51" s="8"/>
      <c r="H51" s="22">
        <v>65</v>
      </c>
      <c r="I51" s="26" t="str">
        <f t="shared" si="3"/>
        <v/>
      </c>
      <c r="J51" s="26"/>
    </row>
    <row r="52" spans="1:12" x14ac:dyDescent="0.25">
      <c r="A52" s="8"/>
      <c r="B52" s="27"/>
      <c r="C52" s="21" t="s">
        <v>16</v>
      </c>
      <c r="D52" s="8"/>
      <c r="E52" s="8"/>
      <c r="F52" s="8"/>
      <c r="G52" s="8"/>
      <c r="H52" s="22">
        <v>95</v>
      </c>
      <c r="I52" s="26" t="str">
        <f t="shared" si="3"/>
        <v/>
      </c>
      <c r="J52" s="26"/>
    </row>
    <row r="53" spans="1:12" x14ac:dyDescent="0.25">
      <c r="A53" s="8"/>
      <c r="B53" s="27"/>
      <c r="C53" s="21" t="s">
        <v>97</v>
      </c>
      <c r="D53" s="8"/>
      <c r="E53" s="8"/>
      <c r="F53" s="8"/>
      <c r="G53" s="8"/>
      <c r="H53" s="22">
        <v>125</v>
      </c>
      <c r="I53" s="26" t="str">
        <f t="shared" si="3"/>
        <v/>
      </c>
      <c r="J53" s="26"/>
    </row>
    <row r="54" spans="1:12" x14ac:dyDescent="0.25">
      <c r="A54" s="8"/>
      <c r="B54" s="27"/>
      <c r="C54" s="54" t="s">
        <v>234</v>
      </c>
      <c r="D54" s="8">
        <v>6</v>
      </c>
      <c r="E54" s="8"/>
      <c r="F54" s="8"/>
      <c r="G54" s="22">
        <v>39</v>
      </c>
      <c r="H54" s="22">
        <v>39</v>
      </c>
      <c r="I54" s="26" t="str">
        <f t="shared" si="3"/>
        <v/>
      </c>
      <c r="J54" s="26"/>
    </row>
    <row r="55" spans="1:12" x14ac:dyDescent="0.25">
      <c r="A55" s="8"/>
      <c r="B55" s="27"/>
      <c r="C55" s="54" t="s">
        <v>190</v>
      </c>
      <c r="D55" s="8">
        <v>0</v>
      </c>
      <c r="E55" s="8"/>
      <c r="F55" s="8" t="s">
        <v>92</v>
      </c>
      <c r="G55" s="37">
        <v>50</v>
      </c>
      <c r="H55" s="37">
        <v>50</v>
      </c>
      <c r="I55" s="26" t="str">
        <f t="shared" si="3"/>
        <v/>
      </c>
      <c r="J55" s="26"/>
    </row>
    <row r="56" spans="1:12" x14ac:dyDescent="0.25">
      <c r="A56" s="8"/>
      <c r="B56" s="8"/>
      <c r="C56" s="17"/>
      <c r="D56" s="8"/>
      <c r="E56" s="8"/>
      <c r="F56" s="8"/>
      <c r="G56" s="55" t="s">
        <v>126</v>
      </c>
      <c r="H56" s="22"/>
      <c r="I56" s="26"/>
      <c r="J56" s="26"/>
    </row>
    <row r="57" spans="1:12" x14ac:dyDescent="0.25">
      <c r="C57" s="69"/>
      <c r="J57" s="26"/>
    </row>
    <row r="58" spans="1:12" x14ac:dyDescent="0.25">
      <c r="E58" s="69" t="str">
        <f>IF(B58&gt;0,B58*D58,"")</f>
        <v/>
      </c>
      <c r="J58" s="26"/>
    </row>
    <row r="59" spans="1:12" ht="13" x14ac:dyDescent="0.3">
      <c r="A59" s="16" t="s">
        <v>22</v>
      </c>
      <c r="B59" s="27"/>
      <c r="C59" s="2" t="s">
        <v>162</v>
      </c>
      <c r="D59" s="8"/>
      <c r="E59" s="8"/>
      <c r="F59" s="8"/>
      <c r="G59" s="22"/>
      <c r="H59" s="22">
        <v>95</v>
      </c>
      <c r="I59" s="26" t="str">
        <f t="shared" ref="I59:I60" si="4">IF(B59&gt;0,B59*H59,"")</f>
        <v/>
      </c>
      <c r="J59" s="26"/>
      <c r="K59" s="8"/>
    </row>
    <row r="60" spans="1:12" x14ac:dyDescent="0.25">
      <c r="A60" s="8"/>
      <c r="B60" s="27"/>
      <c r="C60" s="2" t="s">
        <v>161</v>
      </c>
      <c r="D60" s="8"/>
      <c r="E60" s="8"/>
      <c r="F60" s="8"/>
      <c r="G60" s="22"/>
      <c r="H60" s="22">
        <v>65</v>
      </c>
      <c r="I60" s="26" t="str">
        <f t="shared" si="4"/>
        <v/>
      </c>
      <c r="J60" s="26"/>
      <c r="K60" s="8"/>
    </row>
    <row r="61" spans="1:12" x14ac:dyDescent="0.25">
      <c r="A61" s="8"/>
      <c r="B61" s="27"/>
      <c r="C61" s="54" t="s">
        <v>239</v>
      </c>
      <c r="D61" s="8"/>
      <c r="E61" s="8"/>
      <c r="F61" s="8"/>
      <c r="G61" s="56"/>
      <c r="H61" s="56">
        <v>28</v>
      </c>
      <c r="I61" s="26" t="str">
        <f>IF(B61&gt;0,B61*H61,"")</f>
        <v/>
      </c>
      <c r="J61" s="26"/>
      <c r="K61" s="8"/>
    </row>
    <row r="62" spans="1:12" x14ac:dyDescent="0.25">
      <c r="A62" s="8"/>
      <c r="B62" s="27"/>
      <c r="C62" s="17" t="s">
        <v>15</v>
      </c>
      <c r="D62" s="8">
        <v>98</v>
      </c>
      <c r="E62" s="8"/>
      <c r="F62" s="8">
        <v>98</v>
      </c>
      <c r="G62" s="22">
        <v>139</v>
      </c>
      <c r="H62" s="22">
        <v>139</v>
      </c>
      <c r="I62" s="26" t="str">
        <f t="shared" ref="I62" si="5">IF(B62&gt;0,B62*G62,"")</f>
        <v/>
      </c>
      <c r="J62" s="26"/>
      <c r="K62" s="8"/>
      <c r="L62" s="89"/>
    </row>
    <row r="63" spans="1:12" x14ac:dyDescent="0.25">
      <c r="A63" s="8"/>
      <c r="B63" s="27"/>
      <c r="C63" s="54" t="s">
        <v>183</v>
      </c>
      <c r="D63" s="8"/>
      <c r="E63" s="8"/>
      <c r="F63" s="8"/>
      <c r="G63" s="69">
        <v>125</v>
      </c>
      <c r="I63" s="26" t="str">
        <f>IF(B63&gt;0,B63*G63,"")</f>
        <v/>
      </c>
      <c r="J63" s="26"/>
      <c r="K63" s="8"/>
    </row>
    <row r="64" spans="1:12" x14ac:dyDescent="0.25">
      <c r="A64" s="8"/>
      <c r="B64" s="27"/>
      <c r="C64" s="54" t="s">
        <v>191</v>
      </c>
      <c r="D64" s="18">
        <v>30</v>
      </c>
      <c r="E64" s="18"/>
      <c r="F64" s="8" t="s">
        <v>92</v>
      </c>
      <c r="G64" s="22"/>
      <c r="H64" s="22">
        <v>125</v>
      </c>
      <c r="I64" s="26" t="str">
        <f t="shared" ref="I64:I89" si="6">IF(B64&gt;0,B64*G64,"")</f>
        <v/>
      </c>
      <c r="J64" s="26"/>
      <c r="K64" s="8"/>
    </row>
    <row r="65" spans="1:13" x14ac:dyDescent="0.25">
      <c r="A65" s="8"/>
      <c r="B65" s="27"/>
      <c r="C65" s="54" t="s">
        <v>192</v>
      </c>
      <c r="D65" s="8">
        <v>140</v>
      </c>
      <c r="E65" s="8"/>
      <c r="F65" s="8" t="s">
        <v>92</v>
      </c>
      <c r="G65" s="22">
        <v>299</v>
      </c>
      <c r="H65" s="22">
        <v>299</v>
      </c>
      <c r="I65" s="26" t="str">
        <f t="shared" si="6"/>
        <v/>
      </c>
      <c r="J65" s="26"/>
      <c r="K65" s="8"/>
    </row>
    <row r="66" spans="1:13" x14ac:dyDescent="0.25">
      <c r="A66" s="8"/>
      <c r="B66" s="27"/>
      <c r="C66" s="54" t="s">
        <v>193</v>
      </c>
      <c r="D66" s="8"/>
      <c r="E66" s="8"/>
      <c r="F66" s="8"/>
      <c r="G66" s="22">
        <v>370</v>
      </c>
      <c r="H66" s="22">
        <v>370</v>
      </c>
      <c r="I66" s="26" t="str">
        <f t="shared" si="6"/>
        <v/>
      </c>
      <c r="J66" s="26"/>
      <c r="K66" s="8"/>
    </row>
    <row r="67" spans="1:13" ht="13" x14ac:dyDescent="0.3">
      <c r="A67" s="16"/>
      <c r="B67" s="27"/>
      <c r="C67" s="3" t="s">
        <v>99</v>
      </c>
      <c r="D67" s="8"/>
      <c r="E67" s="8"/>
      <c r="F67" s="8"/>
      <c r="G67" s="22">
        <v>195</v>
      </c>
      <c r="H67" s="22">
        <v>195</v>
      </c>
      <c r="I67" s="26" t="str">
        <f t="shared" si="6"/>
        <v/>
      </c>
      <c r="J67" s="26"/>
      <c r="K67" s="8"/>
    </row>
    <row r="68" spans="1:13" x14ac:dyDescent="0.25">
      <c r="A68" s="8"/>
      <c r="B68" s="27"/>
      <c r="C68" s="2" t="s">
        <v>101</v>
      </c>
      <c r="D68" s="8"/>
      <c r="E68" s="8"/>
      <c r="F68" s="8"/>
      <c r="G68" s="56">
        <v>85</v>
      </c>
      <c r="H68" s="56">
        <v>85</v>
      </c>
      <c r="I68" s="26" t="str">
        <f t="shared" si="6"/>
        <v/>
      </c>
      <c r="J68" s="26"/>
      <c r="K68" s="8"/>
    </row>
    <row r="69" spans="1:13" x14ac:dyDescent="0.25">
      <c r="A69" s="8"/>
      <c r="B69" s="27"/>
      <c r="C69" s="2" t="s">
        <v>100</v>
      </c>
      <c r="D69" s="8"/>
      <c r="E69" s="8"/>
      <c r="F69" s="8"/>
      <c r="G69" s="56"/>
      <c r="H69" s="56">
        <v>85</v>
      </c>
      <c r="I69" s="26" t="str">
        <f t="shared" si="6"/>
        <v/>
      </c>
      <c r="J69" s="26"/>
      <c r="K69" s="8"/>
    </row>
    <row r="70" spans="1:13" x14ac:dyDescent="0.25">
      <c r="A70" s="8"/>
      <c r="B70" s="27"/>
      <c r="C70" s="54" t="s">
        <v>241</v>
      </c>
      <c r="D70" s="8"/>
      <c r="E70" s="8"/>
      <c r="F70" s="8"/>
      <c r="G70" s="22">
        <v>69</v>
      </c>
      <c r="H70" s="22">
        <v>69</v>
      </c>
      <c r="I70" s="26" t="str">
        <f t="shared" si="6"/>
        <v/>
      </c>
      <c r="J70" s="26"/>
      <c r="K70" s="8"/>
    </row>
    <row r="71" spans="1:13" x14ac:dyDescent="0.25">
      <c r="A71" s="8"/>
      <c r="B71" s="27"/>
      <c r="C71" s="54" t="s">
        <v>194</v>
      </c>
      <c r="D71" s="8">
        <v>99</v>
      </c>
      <c r="E71" s="8"/>
      <c r="F71" s="8" t="s">
        <v>92</v>
      </c>
      <c r="G71" s="22">
        <v>48</v>
      </c>
      <c r="H71" s="22">
        <v>48</v>
      </c>
      <c r="I71" s="26" t="str">
        <f t="shared" si="6"/>
        <v/>
      </c>
      <c r="J71" s="26"/>
      <c r="K71" s="8"/>
    </row>
    <row r="72" spans="1:13" x14ac:dyDescent="0.25">
      <c r="A72" s="8"/>
      <c r="B72" s="27"/>
      <c r="C72" s="17" t="s">
        <v>104</v>
      </c>
      <c r="D72" s="8">
        <v>100</v>
      </c>
      <c r="E72" s="8"/>
      <c r="F72" s="8" t="s">
        <v>92</v>
      </c>
      <c r="G72" s="22">
        <v>48</v>
      </c>
      <c r="H72" s="22">
        <v>48</v>
      </c>
      <c r="I72" s="26" t="str">
        <f t="shared" si="6"/>
        <v/>
      </c>
      <c r="J72" s="26"/>
      <c r="K72" s="8"/>
    </row>
    <row r="73" spans="1:13" x14ac:dyDescent="0.25">
      <c r="A73" s="8"/>
      <c r="B73" s="27"/>
      <c r="C73" s="17" t="s">
        <v>105</v>
      </c>
      <c r="D73" s="8">
        <v>101</v>
      </c>
      <c r="E73" s="8"/>
      <c r="F73" s="8" t="s">
        <v>92</v>
      </c>
      <c r="G73" s="22">
        <v>39</v>
      </c>
      <c r="H73" s="22">
        <v>39</v>
      </c>
      <c r="I73" s="26" t="str">
        <f t="shared" si="6"/>
        <v/>
      </c>
      <c r="J73" s="26"/>
      <c r="K73" s="8"/>
    </row>
    <row r="74" spans="1:13" x14ac:dyDescent="0.25">
      <c r="A74" s="8"/>
      <c r="B74" s="27"/>
      <c r="C74" s="17" t="s">
        <v>17</v>
      </c>
      <c r="D74" s="8">
        <v>93</v>
      </c>
      <c r="E74" s="8"/>
      <c r="F74" s="8" t="s">
        <v>92</v>
      </c>
      <c r="G74" s="22">
        <v>199</v>
      </c>
      <c r="H74" s="22">
        <v>199</v>
      </c>
      <c r="I74" s="26" t="str">
        <f t="shared" si="6"/>
        <v/>
      </c>
      <c r="J74" s="26"/>
      <c r="K74" s="8"/>
      <c r="M74" s="85"/>
    </row>
    <row r="75" spans="1:13" ht="37.5" x14ac:dyDescent="0.25">
      <c r="A75" s="8"/>
      <c r="B75" s="40"/>
      <c r="C75" s="17" t="s">
        <v>66</v>
      </c>
      <c r="D75" s="18"/>
      <c r="E75" s="18"/>
      <c r="F75" s="8"/>
      <c r="G75" s="22">
        <v>249</v>
      </c>
      <c r="H75" s="22">
        <v>249</v>
      </c>
      <c r="I75" s="26" t="str">
        <f t="shared" si="6"/>
        <v/>
      </c>
      <c r="J75" s="26"/>
      <c r="K75" s="8"/>
    </row>
    <row r="76" spans="1:13" ht="25" x14ac:dyDescent="0.25">
      <c r="A76" s="8"/>
      <c r="B76" s="27"/>
      <c r="C76" s="54" t="s">
        <v>195</v>
      </c>
      <c r="D76" s="18">
        <v>65</v>
      </c>
      <c r="E76" s="18"/>
      <c r="F76" s="8" t="s">
        <v>92</v>
      </c>
      <c r="G76" s="22">
        <v>169</v>
      </c>
      <c r="H76" s="22">
        <v>169</v>
      </c>
      <c r="I76" s="26" t="str">
        <f t="shared" si="6"/>
        <v/>
      </c>
      <c r="J76" s="26"/>
      <c r="K76" s="8"/>
    </row>
    <row r="77" spans="1:13" ht="12" customHeight="1" x14ac:dyDescent="0.25">
      <c r="A77" s="8"/>
      <c r="B77" s="27"/>
      <c r="C77" s="17" t="s">
        <v>96</v>
      </c>
      <c r="D77" s="18">
        <v>66</v>
      </c>
      <c r="E77" s="18"/>
      <c r="F77" s="8" t="s">
        <v>92</v>
      </c>
      <c r="G77" s="22">
        <v>169</v>
      </c>
      <c r="H77" s="22">
        <v>169</v>
      </c>
      <c r="I77" s="26" t="str">
        <f t="shared" si="6"/>
        <v/>
      </c>
      <c r="J77" s="26"/>
      <c r="K77" s="8"/>
    </row>
    <row r="78" spans="1:13" x14ac:dyDescent="0.25">
      <c r="A78" s="8"/>
      <c r="B78" s="27"/>
      <c r="C78" s="17" t="s">
        <v>37</v>
      </c>
      <c r="D78" s="8"/>
      <c r="E78" s="8"/>
      <c r="F78" s="8">
        <v>0</v>
      </c>
      <c r="G78" s="56">
        <v>28</v>
      </c>
      <c r="H78" s="56">
        <v>28</v>
      </c>
      <c r="I78" s="26" t="str">
        <f t="shared" si="6"/>
        <v/>
      </c>
      <c r="J78" s="26"/>
      <c r="K78" s="8"/>
    </row>
    <row r="79" spans="1:13" x14ac:dyDescent="0.25">
      <c r="A79" s="8"/>
      <c r="B79" s="27"/>
      <c r="C79" s="17" t="s">
        <v>67</v>
      </c>
      <c r="D79" s="8"/>
      <c r="E79" s="8"/>
      <c r="F79" s="8" t="s">
        <v>92</v>
      </c>
      <c r="G79" s="56">
        <v>16</v>
      </c>
      <c r="H79" s="56">
        <v>16</v>
      </c>
      <c r="I79" s="26" t="str">
        <f t="shared" si="6"/>
        <v/>
      </c>
      <c r="J79" s="26"/>
      <c r="K79" s="8"/>
    </row>
    <row r="80" spans="1:13" x14ac:dyDescent="0.25">
      <c r="A80" s="8"/>
      <c r="B80" s="27"/>
      <c r="C80" s="17" t="s">
        <v>68</v>
      </c>
      <c r="D80" s="8"/>
      <c r="E80" s="8"/>
      <c r="F80" s="8"/>
      <c r="G80" s="56">
        <v>29</v>
      </c>
      <c r="H80" s="56">
        <v>29</v>
      </c>
      <c r="I80" s="26" t="str">
        <f t="shared" si="6"/>
        <v/>
      </c>
      <c r="J80" s="26"/>
      <c r="K80" s="8"/>
    </row>
    <row r="81" spans="1:11" x14ac:dyDescent="0.25">
      <c r="A81" s="8"/>
      <c r="B81" s="27"/>
      <c r="C81" s="21" t="s">
        <v>89</v>
      </c>
      <c r="D81" s="8">
        <v>12</v>
      </c>
      <c r="E81" s="8">
        <v>12</v>
      </c>
      <c r="F81" s="8" t="s">
        <v>92</v>
      </c>
      <c r="G81" s="22">
        <v>29</v>
      </c>
      <c r="H81" s="22">
        <v>29</v>
      </c>
      <c r="I81" s="26" t="str">
        <f t="shared" si="6"/>
        <v/>
      </c>
      <c r="J81" s="22"/>
      <c r="K81" s="8"/>
    </row>
    <row r="82" spans="1:11" x14ac:dyDescent="0.25">
      <c r="A82" s="8"/>
      <c r="B82" s="27"/>
      <c r="C82" s="21" t="s">
        <v>62</v>
      </c>
      <c r="D82" s="8">
        <v>95</v>
      </c>
      <c r="E82" s="8">
        <v>95</v>
      </c>
      <c r="F82" s="8" t="s">
        <v>92</v>
      </c>
      <c r="G82" s="22">
        <v>125</v>
      </c>
      <c r="H82" s="22">
        <f>G82</f>
        <v>125</v>
      </c>
      <c r="I82" s="26" t="str">
        <f t="shared" si="6"/>
        <v/>
      </c>
      <c r="J82" s="22"/>
      <c r="K82" s="8"/>
    </row>
    <row r="83" spans="1:11" x14ac:dyDescent="0.25">
      <c r="A83" s="8"/>
      <c r="B83" s="27"/>
      <c r="C83" s="21" t="s">
        <v>61</v>
      </c>
      <c r="D83" s="8">
        <v>105</v>
      </c>
      <c r="E83" s="8">
        <v>105</v>
      </c>
      <c r="F83" s="8" t="s">
        <v>92</v>
      </c>
      <c r="G83" s="22">
        <v>139</v>
      </c>
      <c r="H83" s="22">
        <f>G83</f>
        <v>139</v>
      </c>
      <c r="I83" s="26" t="str">
        <f t="shared" si="6"/>
        <v/>
      </c>
      <c r="J83" s="25"/>
      <c r="K83" s="8"/>
    </row>
    <row r="84" spans="1:11" x14ac:dyDescent="0.25">
      <c r="A84" s="8" t="s">
        <v>36</v>
      </c>
      <c r="B84" s="27"/>
      <c r="C84" s="41"/>
      <c r="D84" s="27"/>
      <c r="E84" s="42"/>
      <c r="F84" s="8"/>
      <c r="G84" s="27"/>
      <c r="H84" s="57"/>
      <c r="I84" s="26" t="str">
        <f t="shared" si="6"/>
        <v/>
      </c>
      <c r="J84" s="26"/>
      <c r="K84" s="8"/>
    </row>
    <row r="85" spans="1:11" x14ac:dyDescent="0.25">
      <c r="A85" s="8"/>
      <c r="B85" s="27"/>
      <c r="C85" s="41"/>
      <c r="D85" s="27"/>
      <c r="E85" s="42"/>
      <c r="F85" s="8"/>
      <c r="G85" s="27"/>
      <c r="H85" s="57"/>
      <c r="I85" s="26" t="str">
        <f t="shared" si="6"/>
        <v/>
      </c>
      <c r="J85" s="26"/>
      <c r="K85" s="8"/>
    </row>
    <row r="86" spans="1:11" x14ac:dyDescent="0.25">
      <c r="A86" s="8"/>
      <c r="B86" s="27"/>
      <c r="C86" s="41"/>
      <c r="D86" s="27"/>
      <c r="E86" s="42"/>
      <c r="F86" s="8"/>
      <c r="G86" s="27"/>
      <c r="H86" s="57"/>
      <c r="I86" s="26" t="str">
        <f t="shared" si="6"/>
        <v/>
      </c>
      <c r="J86" s="26"/>
      <c r="K86" s="8"/>
    </row>
    <row r="87" spans="1:11" x14ac:dyDescent="0.25">
      <c r="A87" s="8"/>
      <c r="B87" s="27"/>
      <c r="C87" s="43"/>
      <c r="D87" s="27"/>
      <c r="E87" s="42"/>
      <c r="F87" s="8"/>
      <c r="G87" s="27"/>
      <c r="H87" s="57"/>
      <c r="I87" s="26" t="str">
        <f t="shared" si="6"/>
        <v/>
      </c>
      <c r="J87" s="26"/>
      <c r="K87" s="8"/>
    </row>
    <row r="88" spans="1:11" x14ac:dyDescent="0.25">
      <c r="A88" s="8"/>
      <c r="B88" s="27"/>
      <c r="C88" s="43"/>
      <c r="D88" s="27"/>
      <c r="E88" s="42"/>
      <c r="F88" s="8"/>
      <c r="G88" s="27"/>
      <c r="H88" s="57"/>
      <c r="I88" s="26" t="str">
        <f t="shared" si="6"/>
        <v/>
      </c>
      <c r="J88" s="26"/>
      <c r="K88" s="8"/>
    </row>
    <row r="89" spans="1:11" ht="13" thickBot="1" x14ac:dyDescent="0.3">
      <c r="A89" s="8"/>
      <c r="B89" s="27"/>
      <c r="C89" s="43"/>
      <c r="D89" s="27"/>
      <c r="E89" s="42"/>
      <c r="F89" s="8"/>
      <c r="G89" s="27"/>
      <c r="H89" s="57"/>
      <c r="I89" s="26" t="str">
        <f t="shared" si="6"/>
        <v/>
      </c>
      <c r="J89" s="26"/>
      <c r="K89" s="8"/>
    </row>
    <row r="90" spans="1:11" ht="13" thickBot="1" x14ac:dyDescent="0.3">
      <c r="A90" s="8"/>
      <c r="B90" s="6"/>
      <c r="C90" s="17"/>
      <c r="D90" s="8"/>
      <c r="E90" s="8"/>
      <c r="F90" s="8" t="str">
        <f>IF(B90&gt;0,B90*D90,"")</f>
        <v/>
      </c>
      <c r="G90" s="32"/>
      <c r="H90" s="25"/>
      <c r="I90" s="36"/>
      <c r="J90" s="22">
        <f>SUM(I65:I89)</f>
        <v>0</v>
      </c>
      <c r="K90" s="8"/>
    </row>
    <row r="91" spans="1:11" ht="13.5" thickBot="1" x14ac:dyDescent="0.35">
      <c r="A91" s="44" t="s">
        <v>25</v>
      </c>
      <c r="B91" s="30"/>
      <c r="C91" s="31"/>
      <c r="D91" s="32"/>
      <c r="E91" s="8"/>
      <c r="F91" s="8" t="str">
        <f>IF(B91&gt;0,B91*D91,"")</f>
        <v/>
      </c>
      <c r="G91" s="33"/>
      <c r="H91" s="33"/>
      <c r="I91" s="33"/>
      <c r="J91" s="33"/>
      <c r="K91" s="45">
        <f>SUM(J29:J90)</f>
        <v>0</v>
      </c>
    </row>
    <row r="92" spans="1:11" x14ac:dyDescent="0.25">
      <c r="A92" s="8"/>
      <c r="B92" s="6"/>
      <c r="C92" s="17"/>
      <c r="D92" s="8"/>
      <c r="E92" s="8"/>
      <c r="F92" s="8" t="str">
        <f>IF(B92&gt;0,B92*D92,"")</f>
        <v/>
      </c>
      <c r="G92" s="8"/>
      <c r="H92" s="22"/>
      <c r="I92" s="22"/>
      <c r="J92" s="22"/>
      <c r="K92" s="8"/>
    </row>
    <row r="93" spans="1:11" x14ac:dyDescent="0.25">
      <c r="A93" s="8"/>
      <c r="B93" s="6"/>
      <c r="C93" s="17"/>
      <c r="D93" s="8"/>
      <c r="E93" s="8"/>
      <c r="F93" s="8" t="str">
        <f>IF(B93&gt;0,B93*D93,"")</f>
        <v/>
      </c>
      <c r="G93" s="8"/>
      <c r="H93" s="25"/>
      <c r="I93" s="36"/>
      <c r="J93" s="25"/>
      <c r="K93" s="38"/>
    </row>
    <row r="94" spans="1:11" ht="13" x14ac:dyDescent="0.3">
      <c r="A94" s="16" t="s">
        <v>23</v>
      </c>
      <c r="B94" s="6"/>
      <c r="C94" s="21"/>
      <c r="D94" s="8"/>
      <c r="E94" s="8"/>
      <c r="F94" s="8"/>
      <c r="G94" s="8"/>
      <c r="H94" s="22"/>
      <c r="I94" s="26" t="str">
        <f t="shared" ref="I94:I101" si="7">IF(B94&gt;0,B94*H94,"")</f>
        <v/>
      </c>
      <c r="J94" s="26"/>
      <c r="K94" s="8"/>
    </row>
    <row r="95" spans="1:11" x14ac:dyDescent="0.25">
      <c r="A95" s="8"/>
      <c r="B95" s="27"/>
      <c r="C95" t="s">
        <v>50</v>
      </c>
      <c r="D95" s="8"/>
      <c r="E95" s="8"/>
      <c r="F95" s="8"/>
      <c r="G95" s="8"/>
      <c r="H95" s="22">
        <v>2395</v>
      </c>
      <c r="I95" s="26" t="str">
        <f t="shared" si="7"/>
        <v/>
      </c>
      <c r="J95" s="26"/>
      <c r="K95" s="8"/>
    </row>
    <row r="96" spans="1:11" x14ac:dyDescent="0.25">
      <c r="A96" s="8"/>
      <c r="B96" s="27"/>
      <c r="C96" t="s">
        <v>49</v>
      </c>
      <c r="D96" s="8">
        <v>1650</v>
      </c>
      <c r="E96" s="8"/>
      <c r="F96" s="8" t="str">
        <f>IF(B96&gt;0,B96*D96,"")</f>
        <v/>
      </c>
      <c r="G96" s="8"/>
      <c r="H96" s="22">
        <v>4495</v>
      </c>
      <c r="I96" s="26" t="str">
        <f t="shared" si="7"/>
        <v/>
      </c>
      <c r="J96" s="26"/>
      <c r="K96" s="8"/>
    </row>
    <row r="97" spans="1:11" x14ac:dyDescent="0.25">
      <c r="A97" s="8"/>
      <c r="B97" s="27"/>
      <c r="C97" s="55" t="s">
        <v>156</v>
      </c>
      <c r="D97" s="8"/>
      <c r="E97" s="8"/>
      <c r="F97" s="8"/>
      <c r="G97" s="8"/>
      <c r="H97" s="22">
        <v>275</v>
      </c>
      <c r="I97" s="26" t="str">
        <f t="shared" si="7"/>
        <v/>
      </c>
      <c r="J97" s="26"/>
      <c r="K97" s="8"/>
    </row>
    <row r="98" spans="1:11" x14ac:dyDescent="0.25">
      <c r="A98" s="8"/>
      <c r="B98" s="27"/>
      <c r="C98" s="54" t="s">
        <v>155</v>
      </c>
      <c r="D98" s="8">
        <v>73</v>
      </c>
      <c r="E98" s="8"/>
      <c r="F98" s="8" t="str">
        <f>IF(B98&gt;0,B98*D98,"")</f>
        <v/>
      </c>
      <c r="G98" s="8"/>
      <c r="H98" s="22">
        <v>200</v>
      </c>
      <c r="I98" s="26" t="str">
        <f t="shared" si="7"/>
        <v/>
      </c>
      <c r="J98" s="36"/>
      <c r="K98" s="8"/>
    </row>
    <row r="99" spans="1:11" x14ac:dyDescent="0.25">
      <c r="A99" s="8"/>
      <c r="B99" s="27"/>
      <c r="C99" s="21" t="s">
        <v>52</v>
      </c>
      <c r="D99" s="8"/>
      <c r="E99" s="8"/>
      <c r="F99" s="8"/>
      <c r="G99" s="8"/>
      <c r="H99" s="22" t="s">
        <v>93</v>
      </c>
      <c r="I99" s="26" t="str">
        <f t="shared" si="7"/>
        <v/>
      </c>
      <c r="J99" s="26"/>
      <c r="K99" s="8"/>
    </row>
    <row r="100" spans="1:11" x14ac:dyDescent="0.25">
      <c r="A100" s="8"/>
      <c r="B100" s="27"/>
      <c r="C100" s="21" t="s">
        <v>53</v>
      </c>
      <c r="D100" s="8"/>
      <c r="E100" s="8"/>
      <c r="F100" s="8"/>
      <c r="G100" s="8"/>
      <c r="H100" s="22">
        <v>395</v>
      </c>
      <c r="I100" s="26" t="str">
        <f t="shared" si="7"/>
        <v/>
      </c>
      <c r="J100" s="26"/>
      <c r="K100" s="8"/>
    </row>
    <row r="101" spans="1:11" x14ac:dyDescent="0.25">
      <c r="A101" s="8"/>
      <c r="B101" s="27"/>
      <c r="C101" s="21" t="s">
        <v>54</v>
      </c>
      <c r="D101" s="8"/>
      <c r="E101" s="8"/>
      <c r="F101" s="8"/>
      <c r="G101" s="8"/>
      <c r="H101" s="22">
        <v>595</v>
      </c>
      <c r="I101" s="26" t="str">
        <f t="shared" si="7"/>
        <v/>
      </c>
      <c r="J101" s="36"/>
      <c r="K101" s="8"/>
    </row>
    <row r="102" spans="1:11" ht="25" x14ac:dyDescent="0.25">
      <c r="A102" s="8"/>
      <c r="B102" s="27"/>
      <c r="C102" s="21" t="s">
        <v>185</v>
      </c>
      <c r="D102" s="8"/>
      <c r="E102" s="8"/>
      <c r="F102" s="8"/>
      <c r="G102" s="8"/>
      <c r="H102" s="22">
        <v>2195</v>
      </c>
      <c r="I102" s="26"/>
      <c r="J102" s="36"/>
      <c r="K102" s="8"/>
    </row>
    <row r="103" spans="1:11" ht="25" x14ac:dyDescent="0.25">
      <c r="A103" s="8"/>
      <c r="B103" s="27"/>
      <c r="C103" s="54" t="s">
        <v>202</v>
      </c>
      <c r="D103" s="8"/>
      <c r="E103" s="8"/>
      <c r="F103" s="8"/>
      <c r="G103" s="8"/>
      <c r="H103" s="22">
        <v>295</v>
      </c>
      <c r="I103" s="26"/>
      <c r="J103" s="36"/>
      <c r="K103" s="8"/>
    </row>
    <row r="104" spans="1:11" x14ac:dyDescent="0.25">
      <c r="A104" s="8"/>
      <c r="B104" s="27"/>
      <c r="C104" t="s">
        <v>51</v>
      </c>
      <c r="D104" s="8">
        <v>50</v>
      </c>
      <c r="E104" s="8"/>
      <c r="F104" s="8" t="str">
        <f>IF(B104&gt;0,B104*D104,"")</f>
        <v/>
      </c>
      <c r="G104" s="8"/>
      <c r="H104" s="22">
        <v>1395</v>
      </c>
      <c r="I104" s="26" t="str">
        <f>IF(B104&gt;0,B104*H104,"")</f>
        <v/>
      </c>
      <c r="J104" s="26"/>
      <c r="K104" s="8"/>
    </row>
    <row r="105" spans="1:11" x14ac:dyDescent="0.25">
      <c r="A105" s="8"/>
      <c r="B105" s="27"/>
      <c r="C105" t="s">
        <v>69</v>
      </c>
      <c r="D105" s="8"/>
      <c r="E105" s="8"/>
      <c r="F105" s="8"/>
      <c r="G105" s="8"/>
      <c r="H105" s="22">
        <v>275</v>
      </c>
      <c r="I105" s="26" t="str">
        <f>IF(B105&gt;0,B105*H105,"")</f>
        <v/>
      </c>
      <c r="J105" s="26"/>
      <c r="K105" s="8"/>
    </row>
    <row r="106" spans="1:11" x14ac:dyDescent="0.25">
      <c r="A106" s="8"/>
      <c r="B106" s="27"/>
      <c r="C106" s="54" t="s">
        <v>203</v>
      </c>
      <c r="D106" s="8"/>
      <c r="E106" s="8"/>
      <c r="F106" s="8"/>
      <c r="G106" s="8"/>
      <c r="H106" s="22">
        <v>165</v>
      </c>
      <c r="I106" s="26" t="str">
        <f>IF(B106&gt;0,B106*H106,"")</f>
        <v/>
      </c>
      <c r="J106" s="26"/>
      <c r="K106" s="8"/>
    </row>
    <row r="107" spans="1:11" ht="13" thickBot="1" x14ac:dyDescent="0.3">
      <c r="A107" s="8"/>
      <c r="B107" s="27"/>
      <c r="C107" t="s">
        <v>55</v>
      </c>
      <c r="D107" s="8"/>
      <c r="E107" s="8"/>
      <c r="F107" s="8"/>
      <c r="G107" s="8"/>
      <c r="H107" s="22">
        <v>375</v>
      </c>
      <c r="I107" s="26" t="str">
        <f>IF(B107&gt;0,B107*H107,"")</f>
        <v/>
      </c>
      <c r="J107" s="26"/>
      <c r="K107" s="8"/>
    </row>
    <row r="108" spans="1:11" ht="13.5" thickBot="1" x14ac:dyDescent="0.35">
      <c r="A108" s="44" t="s">
        <v>27</v>
      </c>
      <c r="B108" s="46"/>
      <c r="C108" s="32"/>
      <c r="D108" s="32"/>
      <c r="E108" s="8"/>
      <c r="F108" s="8" t="str">
        <f>IF(B108&gt;0,B108*D108,"")</f>
        <v/>
      </c>
      <c r="G108" s="32">
        <f>SUM(F94:F101)</f>
        <v>0</v>
      </c>
      <c r="H108" s="33"/>
      <c r="I108" s="32"/>
      <c r="J108" s="33"/>
      <c r="K108" s="34">
        <f>SUM(I94:I107)</f>
        <v>0</v>
      </c>
    </row>
    <row r="109" spans="1:11" ht="13" thickBot="1" x14ac:dyDescent="0.3">
      <c r="A109" s="8"/>
      <c r="B109" s="8"/>
      <c r="C109" s="17"/>
      <c r="D109" s="8"/>
      <c r="E109" s="8"/>
      <c r="F109" s="8" t="str">
        <f>IF(B109&gt;0,B109*D109,"")</f>
        <v/>
      </c>
      <c r="G109" s="8"/>
      <c r="H109" s="22"/>
      <c r="I109" s="26"/>
      <c r="J109" s="26"/>
      <c r="K109" s="8"/>
    </row>
    <row r="110" spans="1:11" ht="25" x14ac:dyDescent="0.25">
      <c r="A110" s="199" t="s">
        <v>116</v>
      </c>
      <c r="B110" s="121"/>
      <c r="C110" s="120" t="s">
        <v>117</v>
      </c>
      <c r="D110" s="115"/>
      <c r="E110" s="115"/>
      <c r="F110" s="115" t="s">
        <v>92</v>
      </c>
      <c r="G110" s="115"/>
      <c r="H110" s="126">
        <v>895</v>
      </c>
      <c r="I110" s="127" t="str">
        <f>IF(B110&gt;0,B110*H110,"")</f>
        <v/>
      </c>
      <c r="J110" s="25"/>
      <c r="K110" s="25"/>
    </row>
    <row r="111" spans="1:11" ht="25" x14ac:dyDescent="0.25">
      <c r="A111" s="200"/>
      <c r="B111" s="122"/>
      <c r="C111" s="2" t="s">
        <v>165</v>
      </c>
      <c r="D111"/>
      <c r="E111"/>
      <c r="F111"/>
      <c r="G111"/>
      <c r="H111" s="62">
        <v>995</v>
      </c>
      <c r="I111" s="130" t="str">
        <f>IF(B111&gt;0,B111*H111,"")</f>
        <v/>
      </c>
      <c r="J111" s="25"/>
      <c r="K111" s="25"/>
    </row>
    <row r="112" spans="1:11" ht="25" x14ac:dyDescent="0.25">
      <c r="A112" s="200"/>
      <c r="B112" s="122"/>
      <c r="C112" s="2" t="s">
        <v>166</v>
      </c>
      <c r="D112"/>
      <c r="E112"/>
      <c r="F112"/>
      <c r="G112"/>
      <c r="H112" s="62">
        <v>1395</v>
      </c>
      <c r="I112" s="130"/>
      <c r="J112" s="25"/>
      <c r="K112" s="25"/>
    </row>
    <row r="113" spans="1:12" x14ac:dyDescent="0.25">
      <c r="A113" s="200"/>
      <c r="B113" s="122"/>
      <c r="C113" s="3" t="s">
        <v>143</v>
      </c>
      <c r="D113"/>
      <c r="E113"/>
      <c r="F113"/>
      <c r="G113"/>
      <c r="H113" s="60">
        <v>995</v>
      </c>
      <c r="I113" s="130" t="str">
        <f>IF(B113&gt;0,B113*H113,"")</f>
        <v/>
      </c>
      <c r="J113" s="25"/>
      <c r="K113" s="25"/>
    </row>
    <row r="114" spans="1:12" ht="25" x14ac:dyDescent="0.25">
      <c r="A114" s="200"/>
      <c r="B114" s="122"/>
      <c r="C114" s="3" t="s">
        <v>144</v>
      </c>
      <c r="D114"/>
      <c r="E114"/>
      <c r="F114" t="s">
        <v>92</v>
      </c>
      <c r="G114"/>
      <c r="H114" s="60">
        <v>995</v>
      </c>
      <c r="I114" s="130" t="str">
        <f>IF(B114&gt;0,B114*H114,"")</f>
        <v/>
      </c>
      <c r="J114" s="25"/>
      <c r="K114" s="25"/>
    </row>
    <row r="115" spans="1:12" ht="15" customHeight="1" x14ac:dyDescent="0.25">
      <c r="A115" s="200"/>
      <c r="B115" s="122"/>
      <c r="C115" s="2" t="s">
        <v>115</v>
      </c>
      <c r="D115"/>
      <c r="E115"/>
      <c r="F115" t="s">
        <v>92</v>
      </c>
      <c r="G115"/>
      <c r="H115" s="60">
        <v>1495</v>
      </c>
      <c r="I115" s="130" t="str">
        <f>IF(B115&gt;0,B115*H115,"")</f>
        <v/>
      </c>
      <c r="J115" s="25"/>
      <c r="K115" s="25"/>
    </row>
    <row r="116" spans="1:12" ht="25" x14ac:dyDescent="0.25">
      <c r="A116" s="200"/>
      <c r="B116" s="122"/>
      <c r="C116" s="3" t="s">
        <v>102</v>
      </c>
      <c r="D116"/>
      <c r="E116"/>
      <c r="F116"/>
      <c r="G116"/>
      <c r="H116" s="60">
        <v>1295</v>
      </c>
      <c r="I116" s="130" t="str">
        <f>IF(B116&gt;0,B116*H116,"")</f>
        <v/>
      </c>
      <c r="J116" s="25"/>
      <c r="K116" s="25"/>
    </row>
    <row r="117" spans="1:12" ht="25" x14ac:dyDescent="0.25">
      <c r="A117" s="200"/>
      <c r="B117" s="122"/>
      <c r="C117" s="54" t="s">
        <v>164</v>
      </c>
      <c r="D117"/>
      <c r="E117"/>
      <c r="F117"/>
      <c r="G117"/>
      <c r="H117" s="62">
        <v>1595</v>
      </c>
      <c r="I117" s="130" t="str">
        <f>IF(B117&gt;0,B117*H117,"")</f>
        <v/>
      </c>
      <c r="J117" s="25"/>
      <c r="K117" s="25"/>
    </row>
    <row r="118" spans="1:12" ht="25" x14ac:dyDescent="0.25">
      <c r="A118" s="200"/>
      <c r="B118" s="122"/>
      <c r="C118" s="54" t="s">
        <v>163</v>
      </c>
      <c r="D118"/>
      <c r="E118"/>
      <c r="F118"/>
      <c r="G118"/>
      <c r="H118" s="62">
        <v>2395</v>
      </c>
      <c r="I118" s="130"/>
      <c r="J118" s="25"/>
      <c r="K118" s="25"/>
    </row>
    <row r="119" spans="1:12" ht="25.5" thickBot="1" x14ac:dyDescent="0.3">
      <c r="A119" s="201"/>
      <c r="B119" s="123"/>
      <c r="C119" s="116" t="s">
        <v>167</v>
      </c>
      <c r="D119" s="117"/>
      <c r="E119" s="117"/>
      <c r="F119" s="117"/>
      <c r="G119" s="117"/>
      <c r="H119" s="128">
        <v>2650</v>
      </c>
      <c r="I119" s="129"/>
      <c r="J119" s="25"/>
      <c r="K119" s="25"/>
    </row>
    <row r="120" spans="1:12" ht="25" x14ac:dyDescent="0.25">
      <c r="A120" s="205" t="s">
        <v>118</v>
      </c>
      <c r="B120" s="124"/>
      <c r="C120" s="120" t="s">
        <v>114</v>
      </c>
      <c r="D120" s="115"/>
      <c r="E120" s="115"/>
      <c r="F120" s="115" t="s">
        <v>92</v>
      </c>
      <c r="G120" s="115"/>
      <c r="H120" s="126">
        <v>395</v>
      </c>
      <c r="I120" s="127" t="str">
        <f>IF(B120&gt;0,B120*H120,"")</f>
        <v/>
      </c>
      <c r="J120" s="25"/>
      <c r="K120" s="25"/>
      <c r="L120" s="92"/>
    </row>
    <row r="121" spans="1:12" ht="25.5" customHeight="1" thickBot="1" x14ac:dyDescent="0.3">
      <c r="A121" s="206"/>
      <c r="B121" s="125"/>
      <c r="C121" s="3" t="s">
        <v>119</v>
      </c>
      <c r="D121"/>
      <c r="E121"/>
      <c r="F121"/>
      <c r="G121"/>
      <c r="H121" s="62">
        <v>199</v>
      </c>
      <c r="I121" s="130" t="str">
        <f>IF(B121&gt;0,B121*H121,"")</f>
        <v/>
      </c>
      <c r="J121" s="25"/>
      <c r="K121" s="25"/>
      <c r="L121" s="92"/>
    </row>
    <row r="122" spans="1:12" ht="13.5" thickBot="1" x14ac:dyDescent="0.35">
      <c r="A122" s="44" t="s">
        <v>48</v>
      </c>
      <c r="B122" s="32"/>
      <c r="C122" s="32"/>
      <c r="D122" s="32"/>
      <c r="E122" s="32"/>
      <c r="F122" s="32" t="str">
        <f>IF(B122&gt;0,B122*D122,"")</f>
        <v/>
      </c>
      <c r="G122" s="32">
        <f>SUM(F109:F121)</f>
        <v>0</v>
      </c>
      <c r="H122" s="33"/>
      <c r="I122" s="32"/>
      <c r="J122" s="33"/>
      <c r="K122" s="34">
        <f>SUM(I110:I121)</f>
        <v>0</v>
      </c>
      <c r="L122" s="92"/>
    </row>
    <row r="123" spans="1:12" x14ac:dyDescent="0.25">
      <c r="B123" s="69"/>
      <c r="E123" s="69" t="str">
        <f t="shared" ref="E123:E126" si="8">IF(B123&gt;0,B123*D123,"")</f>
        <v/>
      </c>
      <c r="J123" s="89" t="str">
        <f>IF(B123&gt;0,B123*I123,"")</f>
        <v/>
      </c>
      <c r="K123" s="69"/>
    </row>
    <row r="124" spans="1:12" x14ac:dyDescent="0.25">
      <c r="E124" s="69" t="str">
        <f t="shared" si="8"/>
        <v/>
      </c>
      <c r="I124" s="91"/>
      <c r="J124" s="99"/>
      <c r="K124" s="85"/>
    </row>
    <row r="125" spans="1:12" ht="13" x14ac:dyDescent="0.3">
      <c r="E125" s="69" t="str">
        <f t="shared" si="8"/>
        <v/>
      </c>
      <c r="K125" s="90"/>
    </row>
    <row r="126" spans="1:12" ht="13" thickBot="1" x14ac:dyDescent="0.3">
      <c r="A126" s="69" t="s">
        <v>20</v>
      </c>
      <c r="B126" s="87"/>
      <c r="C126" s="80" t="s">
        <v>38</v>
      </c>
      <c r="E126" s="69" t="str">
        <f t="shared" si="8"/>
        <v/>
      </c>
      <c r="J126" s="89" t="str">
        <f>IF(B126&gt;0,B126*K126,"")</f>
        <v/>
      </c>
      <c r="K126" s="98"/>
    </row>
    <row r="127" spans="1:12" ht="13" thickBot="1" x14ac:dyDescent="0.3">
      <c r="A127" s="100" t="s">
        <v>39</v>
      </c>
      <c r="B127" s="94"/>
      <c r="C127" s="95"/>
      <c r="D127" s="96"/>
      <c r="E127" s="69" t="str">
        <f t="shared" ref="E127:E163" si="9">IF(B127&gt;0,B127*D127,"")</f>
        <v/>
      </c>
      <c r="F127" s="96"/>
      <c r="G127" s="96"/>
      <c r="H127" s="96"/>
      <c r="I127" s="97"/>
      <c r="J127" s="101"/>
      <c r="K127" s="111">
        <f>SUM(J126:J126)</f>
        <v>0</v>
      </c>
    </row>
    <row r="128" spans="1:12" ht="13" thickBot="1" x14ac:dyDescent="0.3">
      <c r="E128" s="69" t="str">
        <f t="shared" si="9"/>
        <v/>
      </c>
      <c r="F128" s="69">
        <f>SUM(E12:E127)</f>
        <v>212</v>
      </c>
      <c r="K128" s="69"/>
    </row>
    <row r="129" spans="2:11" ht="13.5" thickBot="1" x14ac:dyDescent="0.35">
      <c r="E129" s="69" t="str">
        <f t="shared" si="9"/>
        <v/>
      </c>
      <c r="K129" s="102">
        <f>SUM(L99:L127)</f>
        <v>0</v>
      </c>
    </row>
    <row r="130" spans="2:11" x14ac:dyDescent="0.25">
      <c r="E130" s="69" t="str">
        <f t="shared" si="9"/>
        <v/>
      </c>
    </row>
    <row r="131" spans="2:11" x14ac:dyDescent="0.25">
      <c r="E131" s="69" t="str">
        <f t="shared" si="9"/>
        <v/>
      </c>
    </row>
    <row r="132" spans="2:11" x14ac:dyDescent="0.25">
      <c r="E132" s="69" t="str">
        <f t="shared" si="9"/>
        <v/>
      </c>
    </row>
    <row r="133" spans="2:11" x14ac:dyDescent="0.25">
      <c r="E133" s="69" t="str">
        <f t="shared" si="9"/>
        <v/>
      </c>
    </row>
    <row r="134" spans="2:11" x14ac:dyDescent="0.25">
      <c r="E134" s="69" t="str">
        <f t="shared" si="9"/>
        <v/>
      </c>
    </row>
    <row r="135" spans="2:11" x14ac:dyDescent="0.25">
      <c r="E135" s="69" t="str">
        <f t="shared" si="9"/>
        <v/>
      </c>
    </row>
    <row r="136" spans="2:11" x14ac:dyDescent="0.25">
      <c r="E136" s="69" t="str">
        <f t="shared" si="9"/>
        <v/>
      </c>
    </row>
    <row r="137" spans="2:11" x14ac:dyDescent="0.25">
      <c r="E137" s="69" t="str">
        <f t="shared" si="9"/>
        <v/>
      </c>
    </row>
    <row r="138" spans="2:11" x14ac:dyDescent="0.25">
      <c r="E138" s="69" t="str">
        <f t="shared" si="9"/>
        <v/>
      </c>
    </row>
    <row r="139" spans="2:11" x14ac:dyDescent="0.25">
      <c r="E139" s="69" t="str">
        <f t="shared" si="9"/>
        <v/>
      </c>
    </row>
    <row r="140" spans="2:11" x14ac:dyDescent="0.25">
      <c r="E140" s="69" t="str">
        <f t="shared" si="9"/>
        <v/>
      </c>
    </row>
    <row r="141" spans="2:11" x14ac:dyDescent="0.25">
      <c r="E141" s="69" t="str">
        <f t="shared" si="9"/>
        <v/>
      </c>
    </row>
    <row r="142" spans="2:11" x14ac:dyDescent="0.25">
      <c r="E142" s="69" t="str">
        <f t="shared" si="9"/>
        <v/>
      </c>
    </row>
    <row r="143" spans="2:11" x14ac:dyDescent="0.25">
      <c r="B143" s="69"/>
      <c r="C143" s="69"/>
      <c r="E143" s="69" t="str">
        <f t="shared" si="9"/>
        <v/>
      </c>
      <c r="J143" s="70"/>
      <c r="K143" s="70"/>
    </row>
    <row r="144" spans="2:11" x14ac:dyDescent="0.25">
      <c r="B144" s="69"/>
      <c r="C144" s="69"/>
      <c r="E144" s="69" t="str">
        <f t="shared" si="9"/>
        <v/>
      </c>
      <c r="J144" s="70"/>
      <c r="K144" s="70"/>
    </row>
    <row r="145" spans="2:11" x14ac:dyDescent="0.25">
      <c r="B145" s="69"/>
      <c r="C145" s="69"/>
      <c r="E145" s="69" t="str">
        <f t="shared" si="9"/>
        <v/>
      </c>
      <c r="J145" s="70"/>
      <c r="K145" s="70"/>
    </row>
    <row r="146" spans="2:11" x14ac:dyDescent="0.25">
      <c r="B146" s="69"/>
      <c r="C146" s="69"/>
      <c r="E146" s="69" t="str">
        <f t="shared" si="9"/>
        <v/>
      </c>
      <c r="J146" s="70"/>
      <c r="K146" s="70"/>
    </row>
    <row r="147" spans="2:11" x14ac:dyDescent="0.25">
      <c r="B147" s="69"/>
      <c r="C147" s="69"/>
      <c r="E147" s="69" t="str">
        <f t="shared" si="9"/>
        <v/>
      </c>
      <c r="J147" s="70"/>
      <c r="K147" s="70"/>
    </row>
    <row r="148" spans="2:11" x14ac:dyDescent="0.25">
      <c r="B148" s="69"/>
      <c r="C148" s="69"/>
      <c r="E148" s="69" t="str">
        <f t="shared" si="9"/>
        <v/>
      </c>
      <c r="J148" s="70"/>
      <c r="K148" s="70"/>
    </row>
    <row r="149" spans="2:11" x14ac:dyDescent="0.25">
      <c r="B149" s="69"/>
      <c r="C149" s="69"/>
      <c r="E149" s="69" t="str">
        <f t="shared" si="9"/>
        <v/>
      </c>
      <c r="J149" s="70"/>
      <c r="K149" s="70"/>
    </row>
    <row r="150" spans="2:11" x14ac:dyDescent="0.25">
      <c r="B150" s="69"/>
      <c r="C150" s="69"/>
      <c r="E150" s="69" t="str">
        <f t="shared" si="9"/>
        <v/>
      </c>
      <c r="J150" s="70"/>
      <c r="K150" s="70"/>
    </row>
    <row r="151" spans="2:11" x14ac:dyDescent="0.25">
      <c r="B151" s="69"/>
      <c r="C151" s="69"/>
      <c r="E151" s="69" t="str">
        <f t="shared" si="9"/>
        <v/>
      </c>
      <c r="J151" s="70"/>
      <c r="K151" s="70"/>
    </row>
    <row r="152" spans="2:11" x14ac:dyDescent="0.25">
      <c r="B152" s="69"/>
      <c r="C152" s="69"/>
      <c r="E152" s="69" t="str">
        <f t="shared" si="9"/>
        <v/>
      </c>
      <c r="J152" s="70"/>
      <c r="K152" s="70"/>
    </row>
    <row r="153" spans="2:11" x14ac:dyDescent="0.25">
      <c r="B153" s="69"/>
      <c r="C153" s="69"/>
      <c r="E153" s="69" t="str">
        <f t="shared" si="9"/>
        <v/>
      </c>
      <c r="J153" s="70"/>
      <c r="K153" s="70"/>
    </row>
    <row r="154" spans="2:11" x14ac:dyDescent="0.25">
      <c r="B154" s="69"/>
      <c r="C154" s="69"/>
      <c r="E154" s="69" t="str">
        <f t="shared" si="9"/>
        <v/>
      </c>
      <c r="J154" s="70"/>
      <c r="K154" s="70"/>
    </row>
    <row r="155" spans="2:11" x14ac:dyDescent="0.25">
      <c r="B155" s="69"/>
      <c r="C155" s="69"/>
      <c r="E155" s="69" t="str">
        <f t="shared" si="9"/>
        <v/>
      </c>
      <c r="J155" s="70"/>
      <c r="K155" s="70"/>
    </row>
    <row r="156" spans="2:11" x14ac:dyDescent="0.25">
      <c r="B156" s="69"/>
      <c r="C156" s="69"/>
      <c r="E156" s="69" t="str">
        <f t="shared" si="9"/>
        <v/>
      </c>
      <c r="J156" s="70"/>
      <c r="K156" s="70"/>
    </row>
    <row r="157" spans="2:11" x14ac:dyDescent="0.25">
      <c r="B157" s="69"/>
      <c r="C157" s="69"/>
      <c r="E157" s="69" t="str">
        <f t="shared" si="9"/>
        <v/>
      </c>
      <c r="J157" s="70"/>
      <c r="K157" s="70"/>
    </row>
    <row r="158" spans="2:11" x14ac:dyDescent="0.25">
      <c r="B158" s="69"/>
      <c r="C158" s="69"/>
      <c r="E158" s="69" t="str">
        <f t="shared" si="9"/>
        <v/>
      </c>
      <c r="J158" s="70"/>
      <c r="K158" s="70"/>
    </row>
    <row r="159" spans="2:11" x14ac:dyDescent="0.25">
      <c r="B159" s="69"/>
      <c r="C159" s="69"/>
      <c r="E159" s="69" t="str">
        <f t="shared" si="9"/>
        <v/>
      </c>
      <c r="J159" s="70"/>
      <c r="K159" s="70"/>
    </row>
    <row r="160" spans="2:11" x14ac:dyDescent="0.25">
      <c r="B160" s="69"/>
      <c r="C160" s="69"/>
      <c r="E160" s="69" t="str">
        <f t="shared" si="9"/>
        <v/>
      </c>
      <c r="J160" s="70"/>
      <c r="K160" s="70"/>
    </row>
    <row r="161" spans="2:11" x14ac:dyDescent="0.25">
      <c r="B161" s="69"/>
      <c r="C161" s="69"/>
      <c r="E161" s="69" t="str">
        <f t="shared" si="9"/>
        <v/>
      </c>
      <c r="J161" s="70"/>
      <c r="K161" s="70"/>
    </row>
    <row r="162" spans="2:11" x14ac:dyDescent="0.25">
      <c r="B162" s="69"/>
      <c r="C162" s="69"/>
      <c r="E162" s="69" t="str">
        <f t="shared" si="9"/>
        <v/>
      </c>
      <c r="J162" s="70"/>
      <c r="K162" s="70"/>
    </row>
    <row r="163" spans="2:11" x14ac:dyDescent="0.25">
      <c r="B163" s="69"/>
      <c r="C163" s="69"/>
      <c r="E163" s="69" t="str">
        <f t="shared" si="9"/>
        <v/>
      </c>
      <c r="J163" s="70"/>
      <c r="K163" s="70"/>
    </row>
  </sheetData>
  <sheetProtection algorithmName="SHA-512" hashValue="Ep3SpcKZMw+HmxLCcVl/5ml//OZy25HXwPxN6VsPMKTnq4/T2rKYUp4NSUn6JBE+q7DDQdPN/k2PfAgiW7nHuw==" saltValue="HzEDx+ileKWKuL6YGDnCPg==" spinCount="100000" sheet="1" selectLockedCells="1"/>
  <mergeCells count="4">
    <mergeCell ref="G9:H9"/>
    <mergeCell ref="I9:J9"/>
    <mergeCell ref="A110:A119"/>
    <mergeCell ref="A120:A121"/>
  </mergeCells>
  <printOptions horizontalCentered="1"/>
  <pageMargins left="0.25" right="0.25" top="0.5" bottom="0.5" header="0" footer="0"/>
  <pageSetup scale="76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D6727-CB5C-4470-A000-B11E41CD0638}">
  <dimension ref="A1:N31"/>
  <sheetViews>
    <sheetView workbookViewId="0">
      <selection activeCell="D22" sqref="D22"/>
    </sheetView>
  </sheetViews>
  <sheetFormatPr defaultColWidth="8.81640625" defaultRowHeight="14.5" x14ac:dyDescent="0.35"/>
  <cols>
    <col min="1" max="1" width="40.1796875" style="158" bestFit="1" customWidth="1"/>
    <col min="2" max="2" width="9.1796875" style="158" customWidth="1"/>
    <col min="3" max="3" width="7.81640625" style="167" customWidth="1"/>
    <col min="4" max="6" width="8.81640625" style="167"/>
    <col min="7" max="8" width="0" style="167" hidden="1" customWidth="1"/>
    <col min="9" max="9" width="9.453125" style="167" hidden="1" customWidth="1"/>
    <col min="10" max="10" width="9.453125" style="167" customWidth="1"/>
    <col min="11" max="11" width="8.7265625" style="167" bestFit="1" customWidth="1"/>
    <col min="12" max="12" width="6.1796875" style="167" bestFit="1" customWidth="1"/>
    <col min="13" max="14" width="8.81640625" style="167"/>
    <col min="15" max="16384" width="8.81640625" style="158"/>
  </cols>
  <sheetData>
    <row r="1" spans="1:14" ht="15" customHeight="1" thickBot="1" x14ac:dyDescent="0.4">
      <c r="B1" s="178"/>
      <c r="C1" s="209" t="s">
        <v>146</v>
      </c>
      <c r="D1" s="210"/>
      <c r="E1" s="210"/>
      <c r="F1" s="210"/>
      <c r="G1" s="210"/>
      <c r="H1" s="210"/>
      <c r="I1" s="210"/>
      <c r="J1" s="210"/>
      <c r="K1" s="210"/>
      <c r="L1" s="211"/>
    </row>
    <row r="2" spans="1:14" ht="15" thickBot="1" x14ac:dyDescent="0.4">
      <c r="B2" s="179" t="s">
        <v>220</v>
      </c>
      <c r="C2" s="162" t="s">
        <v>221</v>
      </c>
      <c r="D2" s="163" t="s">
        <v>222</v>
      </c>
      <c r="E2" s="163" t="s">
        <v>223</v>
      </c>
      <c r="F2" s="163" t="s">
        <v>224</v>
      </c>
      <c r="G2" s="163"/>
      <c r="H2" s="163"/>
      <c r="I2" s="163"/>
      <c r="J2" s="212" t="s">
        <v>206</v>
      </c>
      <c r="K2" s="214" t="s">
        <v>225</v>
      </c>
      <c r="L2" s="216" t="s">
        <v>205</v>
      </c>
    </row>
    <row r="3" spans="1:14" s="159" customFormat="1" ht="34.5" customHeight="1" thickBot="1" x14ac:dyDescent="0.4">
      <c r="A3" s="159" t="s">
        <v>147</v>
      </c>
      <c r="B3" s="180" t="s">
        <v>145</v>
      </c>
      <c r="C3" s="181" t="s">
        <v>217</v>
      </c>
      <c r="D3" s="182" t="s">
        <v>218</v>
      </c>
      <c r="E3" s="182" t="s">
        <v>149</v>
      </c>
      <c r="F3" s="183" t="s">
        <v>148</v>
      </c>
      <c r="G3" s="184"/>
      <c r="H3" s="160" t="s">
        <v>204</v>
      </c>
      <c r="I3" s="160" t="s">
        <v>205</v>
      </c>
      <c r="J3" s="213"/>
      <c r="K3" s="215"/>
      <c r="L3" s="217"/>
      <c r="M3" s="177"/>
      <c r="N3" s="177"/>
    </row>
    <row r="4" spans="1:14" x14ac:dyDescent="0.35">
      <c r="A4" s="69" t="s">
        <v>207</v>
      </c>
      <c r="B4" s="161">
        <v>5</v>
      </c>
      <c r="C4" s="162">
        <v>245</v>
      </c>
      <c r="D4" s="163">
        <v>245</v>
      </c>
      <c r="E4" s="163">
        <v>290</v>
      </c>
      <c r="F4" s="164">
        <v>340</v>
      </c>
      <c r="G4" s="181"/>
      <c r="H4" s="163"/>
      <c r="I4" s="185">
        <f t="shared" ref="I4:I19" si="0">IF(H4="S",D4,IF(H4=2,E4,IF(H4="C",F4,0)))</f>
        <v>0</v>
      </c>
      <c r="J4" s="165"/>
      <c r="L4" s="188" t="str">
        <f>IF(K4=$C$2,C4,IF(K4=$D$2,D4,IF(K4=$E$2,E4,IF(K4=$F$2,F4,""))))</f>
        <v/>
      </c>
      <c r="M4" s="177"/>
    </row>
    <row r="5" spans="1:14" x14ac:dyDescent="0.35">
      <c r="A5" s="158" t="s">
        <v>180</v>
      </c>
      <c r="B5" s="166">
        <v>1</v>
      </c>
      <c r="C5" s="165"/>
      <c r="D5" s="167">
        <v>68</v>
      </c>
      <c r="E5" s="167">
        <v>78</v>
      </c>
      <c r="F5" s="168">
        <v>88</v>
      </c>
      <c r="G5" s="176" t="s">
        <v>209</v>
      </c>
      <c r="H5" s="177" t="s">
        <v>210</v>
      </c>
      <c r="I5" s="186">
        <f t="shared" si="0"/>
        <v>68</v>
      </c>
      <c r="J5" s="165"/>
      <c r="L5" s="188" t="str">
        <f t="shared" ref="L5:L19" si="1">IF(K5=$C$2,C5,IF(K5=$D$2,D5,IF(K5=$E$2,E5,IF(K5=$F$2,F5,""))))</f>
        <v/>
      </c>
      <c r="M5" s="177"/>
    </row>
    <row r="6" spans="1:14" x14ac:dyDescent="0.35">
      <c r="A6" s="158" t="s">
        <v>152</v>
      </c>
      <c r="B6" s="166">
        <v>4</v>
      </c>
      <c r="C6" s="165"/>
      <c r="D6" s="167">
        <v>195</v>
      </c>
      <c r="E6" s="167">
        <v>225</v>
      </c>
      <c r="F6" s="169">
        <v>285</v>
      </c>
      <c r="G6" s="176" t="s">
        <v>211</v>
      </c>
      <c r="H6" s="177" t="s">
        <v>210</v>
      </c>
      <c r="I6" s="186">
        <f t="shared" si="0"/>
        <v>195</v>
      </c>
      <c r="J6" s="165"/>
      <c r="L6" s="188" t="str">
        <f t="shared" si="1"/>
        <v/>
      </c>
      <c r="M6" s="177"/>
    </row>
    <row r="7" spans="1:14" x14ac:dyDescent="0.35">
      <c r="A7" s="158" t="s">
        <v>154</v>
      </c>
      <c r="B7" s="166">
        <v>1</v>
      </c>
      <c r="C7" s="165"/>
      <c r="D7" s="167">
        <v>45</v>
      </c>
      <c r="E7" s="167">
        <v>55</v>
      </c>
      <c r="F7" s="168">
        <v>65</v>
      </c>
      <c r="G7" s="176" t="s">
        <v>212</v>
      </c>
      <c r="H7" s="177">
        <v>2</v>
      </c>
      <c r="I7" s="186">
        <f t="shared" si="0"/>
        <v>55</v>
      </c>
      <c r="J7" s="165"/>
      <c r="L7" s="188" t="str">
        <f t="shared" si="1"/>
        <v/>
      </c>
      <c r="M7" s="176"/>
    </row>
    <row r="8" spans="1:14" x14ac:dyDescent="0.35">
      <c r="A8" s="158" t="s">
        <v>151</v>
      </c>
      <c r="B8" s="166">
        <v>2</v>
      </c>
      <c r="C8" s="165"/>
      <c r="D8" s="167">
        <v>60</v>
      </c>
      <c r="E8" s="167">
        <v>70</v>
      </c>
      <c r="F8" s="168">
        <v>80</v>
      </c>
      <c r="G8" s="176"/>
      <c r="H8" s="177"/>
      <c r="I8" s="186">
        <f t="shared" si="0"/>
        <v>0</v>
      </c>
      <c r="J8" s="165"/>
      <c r="L8" s="188" t="str">
        <f t="shared" si="1"/>
        <v/>
      </c>
    </row>
    <row r="9" spans="1:14" ht="14.15" customHeight="1" x14ac:dyDescent="0.35">
      <c r="A9" s="158" t="s">
        <v>171</v>
      </c>
      <c r="B9" s="166">
        <v>1</v>
      </c>
      <c r="C9" s="165"/>
      <c r="D9" s="167">
        <v>65</v>
      </c>
      <c r="E9" s="167">
        <v>75</v>
      </c>
      <c r="F9" s="168">
        <v>95</v>
      </c>
      <c r="G9" s="176" t="s">
        <v>214</v>
      </c>
      <c r="H9" s="177">
        <v>2</v>
      </c>
      <c r="I9" s="186">
        <f>IF(H9="S",D9,IF(H9=2,E9,IF(H9="C",F9,0)))</f>
        <v>75</v>
      </c>
      <c r="J9" s="165"/>
      <c r="L9" s="188" t="str">
        <f>IF(K9=$C$2,C9,IF(K9=$D$2,D9,IF(K9=$E$2,E9,IF(K9=$F$2,F9,""))))</f>
        <v/>
      </c>
      <c r="M9" s="177"/>
    </row>
    <row r="10" spans="1:14" x14ac:dyDescent="0.35">
      <c r="A10" s="158" t="s">
        <v>172</v>
      </c>
      <c r="B10" s="166">
        <v>2</v>
      </c>
      <c r="C10" s="165"/>
      <c r="D10" s="167">
        <v>38</v>
      </c>
      <c r="E10" s="167">
        <v>45</v>
      </c>
      <c r="F10" s="168">
        <v>55</v>
      </c>
      <c r="G10" s="176" t="s">
        <v>211</v>
      </c>
      <c r="H10" s="177" t="s">
        <v>210</v>
      </c>
      <c r="I10" s="186">
        <f>IF(H10="S",D10,IF(H10=2,E10,IF(H10="C",F10,0)))</f>
        <v>38</v>
      </c>
      <c r="J10" s="165"/>
      <c r="L10" s="188" t="str">
        <f>IF(K10=$C$2,C10,IF(K10=$D$2,D10,IF(K10=$E$2,E10,IF(K10=$F$2,F10,""))))</f>
        <v/>
      </c>
      <c r="M10" s="177"/>
    </row>
    <row r="11" spans="1:14" s="69" customFormat="1" x14ac:dyDescent="0.35">
      <c r="A11" s="69" t="s">
        <v>168</v>
      </c>
      <c r="B11" s="166">
        <v>2</v>
      </c>
      <c r="C11" s="170"/>
      <c r="D11" s="170">
        <v>38</v>
      </c>
      <c r="E11" s="170">
        <v>45</v>
      </c>
      <c r="F11" s="168">
        <v>55</v>
      </c>
      <c r="G11" s="176" t="s">
        <v>212</v>
      </c>
      <c r="H11" s="170">
        <v>2</v>
      </c>
      <c r="I11" s="186">
        <f>IF(H11="S",D11,IF(H11=2,E11,IF(H11="C",F11,0)))</f>
        <v>45</v>
      </c>
      <c r="J11" s="165"/>
      <c r="K11" s="167"/>
      <c r="L11" s="188" t="str">
        <f>IF(K11=$C$2,C11,IF(K11=$D$2,D11,IF(K11=$E$2,E11,IF(K11=$F$2,F11,""))))</f>
        <v/>
      </c>
      <c r="M11" s="177"/>
      <c r="N11" s="170"/>
    </row>
    <row r="12" spans="1:14" x14ac:dyDescent="0.35">
      <c r="A12" s="158" t="s">
        <v>153</v>
      </c>
      <c r="B12" s="166">
        <v>1</v>
      </c>
      <c r="C12" s="165"/>
      <c r="D12" s="167">
        <v>68</v>
      </c>
      <c r="E12" s="167">
        <v>78</v>
      </c>
      <c r="F12" s="168">
        <v>98</v>
      </c>
      <c r="G12" s="176" t="s">
        <v>211</v>
      </c>
      <c r="H12" s="177" t="s">
        <v>210</v>
      </c>
      <c r="I12" s="186">
        <f>IF(H12="S",D12,IF(H12=2,E12,IF(H12="C",F12,0)))</f>
        <v>68</v>
      </c>
      <c r="J12" s="165"/>
      <c r="L12" s="188" t="str">
        <f>IF(K12=$C$2,C12,IF(K12=$D$2,D12,IF(K12=$E$2,E12,IF(K12=$F$2,F12,""))))</f>
        <v/>
      </c>
      <c r="M12" s="177"/>
    </row>
    <row r="13" spans="1:14" x14ac:dyDescent="0.35">
      <c r="A13" s="158" t="s">
        <v>213</v>
      </c>
      <c r="B13" s="166">
        <v>2</v>
      </c>
      <c r="C13" s="165">
        <v>50</v>
      </c>
      <c r="D13" s="167">
        <v>50</v>
      </c>
      <c r="F13" s="168">
        <v>80</v>
      </c>
      <c r="G13" s="176"/>
      <c r="H13" s="177"/>
      <c r="I13" s="186"/>
      <c r="J13" s="165"/>
      <c r="L13" s="188" t="str">
        <f t="shared" si="1"/>
        <v/>
      </c>
    </row>
    <row r="14" spans="1:14" x14ac:dyDescent="0.35">
      <c r="A14" s="158" t="s">
        <v>150</v>
      </c>
      <c r="B14" s="166">
        <v>1</v>
      </c>
      <c r="C14" s="165">
        <v>110</v>
      </c>
      <c r="D14" s="167">
        <v>110</v>
      </c>
      <c r="E14" s="167">
        <v>145</v>
      </c>
      <c r="F14" s="168">
        <v>170</v>
      </c>
      <c r="G14" s="176"/>
      <c r="H14" s="177"/>
      <c r="I14" s="186">
        <f t="shared" si="0"/>
        <v>0</v>
      </c>
      <c r="J14" s="165"/>
      <c r="L14" s="188" t="str">
        <f t="shared" si="1"/>
        <v/>
      </c>
    </row>
    <row r="15" spans="1:14" x14ac:dyDescent="0.35">
      <c r="A15" s="158" t="s">
        <v>169</v>
      </c>
      <c r="B15" s="166">
        <v>1</v>
      </c>
      <c r="C15" s="165">
        <v>60</v>
      </c>
      <c r="D15" s="167" t="s">
        <v>208</v>
      </c>
      <c r="E15" s="167" t="s">
        <v>208</v>
      </c>
      <c r="F15" s="168">
        <v>75</v>
      </c>
      <c r="G15" s="176"/>
      <c r="H15" s="177"/>
      <c r="I15" s="186">
        <f>IF(H15="S",D15,IF(H15=2,E15,IF(H15="C",F15,0)))</f>
        <v>0</v>
      </c>
      <c r="J15" s="165"/>
      <c r="L15" s="188" t="str">
        <f>IF(K15=$C$2,C15,IF(K15=$D$2,D15,IF(K15=$E$2,E15,IF(K15=$F$2,F15,""))))</f>
        <v/>
      </c>
      <c r="M15" s="177"/>
    </row>
    <row r="16" spans="1:14" x14ac:dyDescent="0.35">
      <c r="A16" s="196" t="s">
        <v>230</v>
      </c>
      <c r="B16" s="166">
        <v>1</v>
      </c>
      <c r="C16" s="165"/>
      <c r="D16" s="167">
        <v>38</v>
      </c>
      <c r="E16" s="167">
        <v>48</v>
      </c>
      <c r="F16" s="168">
        <v>58</v>
      </c>
      <c r="G16" s="176"/>
      <c r="H16" s="177"/>
      <c r="I16" s="186"/>
      <c r="J16" s="165"/>
      <c r="L16" s="188" t="str">
        <f t="shared" si="1"/>
        <v/>
      </c>
      <c r="M16" s="177"/>
    </row>
    <row r="17" spans="1:14" x14ac:dyDescent="0.35">
      <c r="A17" s="196" t="s">
        <v>231</v>
      </c>
      <c r="B17" s="166">
        <v>1</v>
      </c>
      <c r="C17" s="165"/>
      <c r="D17" s="167">
        <v>15</v>
      </c>
      <c r="E17" s="167">
        <v>18</v>
      </c>
      <c r="F17" s="168">
        <v>22</v>
      </c>
      <c r="G17" s="176"/>
      <c r="H17" s="177"/>
      <c r="I17" s="186"/>
      <c r="J17" s="165"/>
      <c r="L17" s="188" t="str">
        <f t="shared" si="1"/>
        <v/>
      </c>
      <c r="M17" s="177"/>
    </row>
    <row r="18" spans="1:14" x14ac:dyDescent="0.35">
      <c r="A18" s="158" t="s">
        <v>215</v>
      </c>
      <c r="B18" s="166">
        <v>1</v>
      </c>
      <c r="C18" s="165"/>
      <c r="D18" s="167">
        <v>25</v>
      </c>
      <c r="E18" s="167">
        <v>32</v>
      </c>
      <c r="F18" s="168">
        <v>39</v>
      </c>
      <c r="G18" s="176"/>
      <c r="H18" s="177"/>
      <c r="I18" s="186"/>
      <c r="J18" s="165"/>
      <c r="L18" s="188" t="str">
        <f t="shared" si="1"/>
        <v/>
      </c>
      <c r="M18" s="177"/>
    </row>
    <row r="19" spans="1:14" ht="15" thickBot="1" x14ac:dyDescent="0.4">
      <c r="A19" s="196" t="s">
        <v>229</v>
      </c>
      <c r="B19" s="172">
        <v>3</v>
      </c>
      <c r="C19" s="173"/>
      <c r="D19" s="174">
        <v>325</v>
      </c>
      <c r="E19" s="174">
        <v>345</v>
      </c>
      <c r="F19" s="175">
        <v>395</v>
      </c>
      <c r="G19" s="191" t="s">
        <v>211</v>
      </c>
      <c r="H19" s="192" t="s">
        <v>210</v>
      </c>
      <c r="I19" s="193">
        <f t="shared" si="0"/>
        <v>325</v>
      </c>
      <c r="J19" s="173"/>
      <c r="K19" s="174"/>
      <c r="L19" s="194" t="str">
        <f t="shared" si="1"/>
        <v/>
      </c>
      <c r="M19" s="177"/>
    </row>
    <row r="20" spans="1:14" x14ac:dyDescent="0.35">
      <c r="G20" s="177"/>
      <c r="H20" s="177"/>
      <c r="I20" s="195">
        <f>SUM(I4:I19)</f>
        <v>869</v>
      </c>
      <c r="J20" s="177"/>
      <c r="L20" s="195">
        <f>SUM(L4:L19)</f>
        <v>0</v>
      </c>
    </row>
    <row r="21" spans="1:14" s="69" customFormat="1" ht="12.5" x14ac:dyDescent="0.25">
      <c r="A21" s="69" t="s">
        <v>170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s="69" customFormat="1" ht="12.5" x14ac:dyDescent="0.25"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</row>
    <row r="23" spans="1:14" s="69" customFormat="1" ht="12.5" x14ac:dyDescent="0.25">
      <c r="A23" s="69" t="s">
        <v>219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 x14ac:dyDescent="0.35">
      <c r="G24" s="177"/>
      <c r="H24" s="177"/>
      <c r="I24" s="177"/>
      <c r="J24" s="177"/>
    </row>
    <row r="25" spans="1:14" ht="15" thickBot="1" x14ac:dyDescent="0.4"/>
    <row r="26" spans="1:14" ht="15" thickBot="1" x14ac:dyDescent="0.4">
      <c r="B26" s="187" t="s">
        <v>226</v>
      </c>
    </row>
    <row r="27" spans="1:14" x14ac:dyDescent="0.35">
      <c r="B27" s="187" t="s">
        <v>211</v>
      </c>
    </row>
    <row r="28" spans="1:14" ht="29.5" thickBot="1" x14ac:dyDescent="0.4">
      <c r="B28" s="189" t="s">
        <v>227</v>
      </c>
    </row>
    <row r="29" spans="1:14" x14ac:dyDescent="0.35">
      <c r="B29" s="190" t="s">
        <v>228</v>
      </c>
    </row>
    <row r="30" spans="1:14" x14ac:dyDescent="0.35">
      <c r="B30" s="171" t="s">
        <v>216</v>
      </c>
    </row>
    <row r="31" spans="1:14" x14ac:dyDescent="0.35">
      <c r="B31" s="167"/>
    </row>
  </sheetData>
  <mergeCells count="4">
    <mergeCell ref="C1:L1"/>
    <mergeCell ref="J2:J3"/>
    <mergeCell ref="K2:K3"/>
    <mergeCell ref="L2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Unified</vt:lpstr>
      <vt:lpstr>Ala Carte</vt:lpstr>
      <vt:lpstr>Powder Coat</vt:lpstr>
      <vt:lpstr>Bottom993</vt:lpstr>
      <vt:lpstr>BottomCost</vt:lpstr>
      <vt:lpstr>Unified!CONDITION</vt:lpstr>
      <vt:lpstr>Unified!ENGINE</vt:lpstr>
      <vt:lpstr>EngineType</vt:lpstr>
      <vt:lpstr>TopCost</vt:lpstr>
      <vt:lpstr>Unified!TRANS</vt:lpstr>
      <vt:lpstr>Year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Steven Timmins</dc:creator>
  <cp:lastModifiedBy>Steven Timmins</cp:lastModifiedBy>
  <cp:lastPrinted>2018-10-15T14:15:59Z</cp:lastPrinted>
  <dcterms:created xsi:type="dcterms:W3CDTF">2000-08-21T13:09:16Z</dcterms:created>
  <dcterms:modified xsi:type="dcterms:W3CDTF">2024-04-23T13:11:07Z</dcterms:modified>
</cp:coreProperties>
</file>