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571" yWindow="240" windowWidth="27630" windowHeight="14550" tabRatio="785" activeTab="8"/>
  </bookViews>
  <sheets>
    <sheet name="Header Calcs" sheetId="1" r:id="rId1"/>
    <sheet name="Windows+Doors" sheetId="2" r:id="rId2"/>
    <sheet name="ROom-FLoor Dimensions" sheetId="3" r:id="rId3"/>
    <sheet name="Roof INfo" sheetId="4" r:id="rId4"/>
    <sheet name="Wood Materials" sheetId="5" r:id="rId5"/>
    <sheet name="FOundation" sheetId="6" r:id="rId6"/>
    <sheet name="beamCOmparisons" sheetId="7" r:id="rId7"/>
    <sheet name="Sheet3" sheetId="8" r:id="rId8"/>
    <sheet name="Wood Summary" sheetId="9" r:id="rId9"/>
    <sheet name="Overall Project" sheetId="10" r:id="rId10"/>
  </sheets>
  <definedNames>
    <definedName name="ADV_TQ_TG">'Wood Materials'!$R$38</definedName>
    <definedName name="AW4060SS">'Windows+Doors'!$J$2</definedName>
    <definedName name="CW145SS">'Windows+Doors'!$J$3</definedName>
    <definedName name="CW16SS">'Windows+Doors'!$J$5</definedName>
    <definedName name="CW16SST">'Windows+Doors'!$K$5</definedName>
    <definedName name="CW245SS">'Windows+Doors'!$J$6</definedName>
    <definedName name="CW25SS">'Windows+Doors'!$J$7</definedName>
    <definedName name="CW26SS">'Windows+Doors'!$J$8</definedName>
    <definedName name="deadfloor">'Header Calcs'!$E$6</definedName>
    <definedName name="deadroof">'Header Calcs'!$E$3</definedName>
    <definedName name="DRY_Bath">'Wood Materials'!$R$44</definedName>
    <definedName name="DRY48">'Wood Materials'!$R$41</definedName>
    <definedName name="DRY4x10">'Wood Materials'!$R$42</definedName>
    <definedName name="DRY4x12">'Wood Materials'!$R$43</definedName>
    <definedName name="IntWall">'Header Calcs'!$E$14</definedName>
    <definedName name="JoistEast">'Header Calcs'!$E$12</definedName>
    <definedName name="JoistNorth">'Header Calcs'!$E$11</definedName>
    <definedName name="JoistSouth">'Header Calcs'!$E$9</definedName>
    <definedName name="live2ndfloor">'Header Calcs'!$E$4</definedName>
    <definedName name="livefloor">'Header Calcs'!$E$4</definedName>
    <definedName name="Luan5.2">'Wood Materials'!$R$39</definedName>
    <definedName name="OSB_TQ_TG">'Wood Materials'!$R$36</definedName>
    <definedName name="P2x10">'Wood Materials'!$R$21</definedName>
    <definedName name="P2x12">'Wood Materials'!$R$22</definedName>
    <definedName name="P2x12x24">'Wood Materials'!$R$26</definedName>
    <definedName name="P2x4">'Wood Materials'!$R$18</definedName>
    <definedName name="P2x6">'Wood Materials'!$R$19</definedName>
    <definedName name="P2x8">'Wood Materials'!$R$20</definedName>
    <definedName name="P2x8x18">'Wood Materials'!$R$23</definedName>
    <definedName name="P2x8x22">'Wood Materials'!$R$24</definedName>
    <definedName name="P2x8x26">'Wood Materials'!$R$25</definedName>
    <definedName name="P4060SS">'Windows+Doors'!$J$2</definedName>
    <definedName name="Para5x11">'Wood Materials'!$R$28</definedName>
    <definedName name="Para5x16">'Wood Materials'!$R$29</definedName>
    <definedName name="PIJx14">'Wood Materials'!$R$30</definedName>
    <definedName name="PLY_TQ_TG">'Wood Materials'!$R$37</definedName>
    <definedName name="_xlnm.Print_Area" localSheetId="4">'Wood Materials'!$A$1:$Z$301</definedName>
    <definedName name="_xlnm.Print_Area" localSheetId="8">'Wood Summary'!$A$1:$AJ$45</definedName>
    <definedName name="PRJ14">'Wood Materials'!$R$31</definedName>
    <definedName name="PRJx15">'Wood Materials'!$R$31</definedName>
    <definedName name="PT2x8Sill">'Wood Materials'!$R$27</definedName>
    <definedName name="RoofEast">'Header Calcs'!$E$7</definedName>
    <definedName name="RoofWest">'Header Calcs'!$E$8</definedName>
    <definedName name="SH_OSB">'Wood Materials'!$R$32</definedName>
    <definedName name="SH_PL_TQ">'Wood Materials'!$R$35</definedName>
    <definedName name="SH_PLHalf">'Wood Materials'!$R$33</definedName>
    <definedName name="snow">'Header Calcs'!$E$2</definedName>
    <definedName name="TotalIJoists">'Wood Materials'!$K$93</definedName>
    <definedName name="Tyvec">'Wood Materials'!$R$40</definedName>
    <definedName name="Wall">'Header Calcs'!$E$1</definedName>
  </definedNames>
  <calcPr fullCalcOnLoad="1"/>
</workbook>
</file>

<file path=xl/sharedStrings.xml><?xml version="1.0" encoding="utf-8"?>
<sst xmlns="http://schemas.openxmlformats.org/spreadsheetml/2006/main" count="873" uniqueCount="528">
  <si>
    <t>Load Calculations</t>
  </si>
  <si>
    <t>Roof load:</t>
  </si>
  <si>
    <t>Lb/ft^2</t>
  </si>
  <si>
    <t>Feet</t>
  </si>
  <si>
    <t>Dead</t>
  </si>
  <si>
    <t>Snow</t>
  </si>
  <si>
    <t>2nd Floor Wall</t>
  </si>
  <si>
    <t>Total Header Load</t>
  </si>
  <si>
    <t>Roof Load</t>
  </si>
  <si>
    <t xml:space="preserve">Third Floor </t>
  </si>
  <si>
    <t>Live</t>
  </si>
  <si>
    <t>Third Floor Wall</t>
  </si>
  <si>
    <t>Above Second Floor</t>
  </si>
  <si>
    <t>Second Floor Wall</t>
  </si>
  <si>
    <t>Second Floor</t>
  </si>
  <si>
    <t>Bearing Wall on Bedroom</t>
  </si>
  <si>
    <t xml:space="preserve">North Wall: </t>
  </si>
  <si>
    <t>Check this, it should be less</t>
  </si>
  <si>
    <t>West Wall</t>
  </si>
  <si>
    <t xml:space="preserve">South Wall: </t>
  </si>
  <si>
    <t xml:space="preserve">First Floor: </t>
  </si>
  <si>
    <t xml:space="preserve">2nd Floor </t>
  </si>
  <si>
    <t>Bedroom: header calcuations</t>
  </si>
  <si>
    <t>Headers</t>
  </si>
  <si>
    <t>Third Floor</t>
  </si>
  <si>
    <t>Bedroom Headers</t>
  </si>
  <si>
    <t>Living Room Headers</t>
  </si>
  <si>
    <t>Dinng Room Headers</t>
  </si>
  <si>
    <t xml:space="preserve">First Floor </t>
  </si>
  <si>
    <t xml:space="preserve">West Wall: </t>
  </si>
  <si>
    <t>Above Wall loading MAX</t>
  </si>
  <si>
    <t>Above Third Floor</t>
  </si>
  <si>
    <t>Standard 2x6 wall loading per linear foot</t>
  </si>
  <si>
    <t>Snow Loading Roof</t>
  </si>
  <si>
    <t>Dead Load Roof</t>
  </si>
  <si>
    <t>Dead Load Floor</t>
  </si>
  <si>
    <t>Dining Room/Music ROom Headers</t>
  </si>
  <si>
    <t>Childerns Bedroom Bathroom Headers</t>
  </si>
  <si>
    <t>Music Room Headers</t>
  </si>
  <si>
    <t>Master Bedroom Bathroom Headers</t>
  </si>
  <si>
    <t>Third Floor End Wall</t>
  </si>
  <si>
    <t>Rear Bedroom/Third FLoor Joists</t>
  </si>
  <si>
    <t>Front Bedroom Joists</t>
  </si>
  <si>
    <t>Master Bedroom Joists</t>
  </si>
  <si>
    <t>East Roof Span -w- Eaves</t>
  </si>
  <si>
    <t>West Roof Span -w- Eaves</t>
  </si>
  <si>
    <t>Floor Joist Loading</t>
  </si>
  <si>
    <t>Mid House North South</t>
  </si>
  <si>
    <t>Live Load 2nd Floor</t>
  </si>
  <si>
    <t>Libe Load First Floor</t>
  </si>
  <si>
    <t>Span South</t>
  </si>
  <si>
    <t>Span North</t>
  </si>
  <si>
    <t>Wall</t>
  </si>
  <si>
    <t>interior Wall</t>
  </si>
  <si>
    <t>W6x12 or W8x10</t>
  </si>
  <si>
    <t>W8x13</t>
  </si>
  <si>
    <t>2nd Floor MBedroom</t>
  </si>
  <si>
    <t>2 columns</t>
  </si>
  <si>
    <t>2nd Floor EW South</t>
  </si>
  <si>
    <t>Stair Joist Span 3rd</t>
  </si>
  <si>
    <t>Over Stair</t>
  </si>
  <si>
    <t>Columns</t>
  </si>
  <si>
    <t>SouthMain</t>
  </si>
  <si>
    <t>Span</t>
  </si>
  <si>
    <t>Load</t>
  </si>
  <si>
    <t>CenterMain</t>
  </si>
  <si>
    <t>EW South</t>
  </si>
  <si>
    <t>1-2 Floor</t>
  </si>
  <si>
    <t xml:space="preserve">Basement: </t>
  </si>
  <si>
    <t xml:space="preserve"> Vinyl Slider TBD, </t>
  </si>
  <si>
    <t>First Floor</t>
  </si>
  <si>
    <t>Garage</t>
  </si>
  <si>
    <t>Rear facing windows TBD</t>
  </si>
  <si>
    <t>LR</t>
  </si>
  <si>
    <t>DR</t>
  </si>
  <si>
    <t>Music</t>
  </si>
  <si>
    <t>Front Door</t>
  </si>
  <si>
    <t>Double Door</t>
  </si>
  <si>
    <t>W</t>
  </si>
  <si>
    <t>H</t>
  </si>
  <si>
    <t>9'</t>
  </si>
  <si>
    <t>8'</t>
  </si>
  <si>
    <t>Overhead Doors</t>
  </si>
  <si>
    <t>6'</t>
  </si>
  <si>
    <t>12'</t>
  </si>
  <si>
    <t>Have?</t>
  </si>
  <si>
    <t>AW Price</t>
  </si>
  <si>
    <t>Yes</t>
  </si>
  <si>
    <t>4-pane slider, 2 operational centers</t>
  </si>
  <si>
    <t>Double Casement Operational</t>
  </si>
  <si>
    <t>5'</t>
  </si>
  <si>
    <t>Doubel Pocket Doors - 6 panel Pine</t>
  </si>
  <si>
    <t>7'</t>
  </si>
  <si>
    <t>Door assy -w- arch top and sidelights</t>
  </si>
  <si>
    <t>10'</t>
  </si>
  <si>
    <t>Stock</t>
  </si>
  <si>
    <t>Picture Window</t>
  </si>
  <si>
    <t>4'</t>
  </si>
  <si>
    <t>Ext Court</t>
  </si>
  <si>
    <t>Pocket Door</t>
  </si>
  <si>
    <t>2 Panel Sliders</t>
  </si>
  <si>
    <t>Casements</t>
  </si>
  <si>
    <t>Single Casement</t>
  </si>
  <si>
    <t>Pocket Door Shared -w- DR</t>
  </si>
  <si>
    <t>Archway</t>
  </si>
  <si>
    <t>Entry</t>
  </si>
  <si>
    <t>6-panel Pine Door</t>
  </si>
  <si>
    <t>3'</t>
  </si>
  <si>
    <t>MBR</t>
  </si>
  <si>
    <t>PhR</t>
  </si>
  <si>
    <t>Note:  May put slider in!</t>
  </si>
  <si>
    <t>6 Panel Pine</t>
  </si>
  <si>
    <t>2'6"</t>
  </si>
  <si>
    <t>6 Panel Pine Double (Closet)</t>
  </si>
  <si>
    <t>6 Panel Pine Double (Entry)</t>
  </si>
  <si>
    <t>JaR</t>
  </si>
  <si>
    <t>Bath</t>
  </si>
  <si>
    <t>Mbath</t>
  </si>
  <si>
    <t>7"</t>
  </si>
  <si>
    <t>6 Panel Pine Double (Walk-In, Insul?)</t>
  </si>
  <si>
    <t>7 Panel Pine (Toilet)</t>
  </si>
  <si>
    <t>6 Panel Pine (Shower)</t>
  </si>
  <si>
    <t>Basement</t>
  </si>
  <si>
    <t>Stairs Schedule (Listed as base floor)</t>
  </si>
  <si>
    <t>3'8"</t>
  </si>
  <si>
    <t>10'4"</t>
  </si>
  <si>
    <t>18 Risers, 11" steps, 6-7/8", L=15'7"</t>
  </si>
  <si>
    <t>3'8"-4'</t>
  </si>
  <si>
    <t>11'4"</t>
  </si>
  <si>
    <t>20 Risers, 10" tread, 6-3/16, L=15'10"</t>
  </si>
  <si>
    <t>Straight, wider as exposed</t>
  </si>
  <si>
    <t>Straight</t>
  </si>
  <si>
    <t>16 Risers,  11" tread, 6-3/4", L=13'9"</t>
  </si>
  <si>
    <t>Ushaped Overall 6'x9'5"</t>
  </si>
  <si>
    <t>L</t>
  </si>
  <si>
    <t>4'8.8"</t>
  </si>
  <si>
    <t>4'8.5"</t>
  </si>
  <si>
    <t>CW26</t>
  </si>
  <si>
    <t>CW25</t>
  </si>
  <si>
    <t>C26</t>
  </si>
  <si>
    <t>Double Casement</t>
  </si>
  <si>
    <t>2'4-7/8"</t>
  </si>
  <si>
    <t>CW16</t>
  </si>
  <si>
    <t>4'5-3/8"</t>
  </si>
  <si>
    <t>CW245</t>
  </si>
  <si>
    <t>P6050 (Could be C26 double)</t>
  </si>
  <si>
    <t>P6050 (Could be C26 double casement? )</t>
  </si>
  <si>
    <t>Ext</t>
  </si>
  <si>
    <t>6'1-7/8"</t>
  </si>
  <si>
    <t>C56BOW</t>
  </si>
  <si>
    <t>Bow Window 10 degree 14" Proj</t>
  </si>
  <si>
    <t>21'4"</t>
  </si>
  <si>
    <t>30'7"</t>
  </si>
  <si>
    <t>6'5-3/4</t>
  </si>
  <si>
    <t>14'1-1/2</t>
  </si>
  <si>
    <t>22'8-3/8</t>
  </si>
  <si>
    <t>15'7 7/8"</t>
  </si>
  <si>
    <t>15'7"</t>
  </si>
  <si>
    <t>Hall</t>
  </si>
  <si>
    <t>Stair Proj</t>
  </si>
  <si>
    <t>2'11-5/8"</t>
  </si>
  <si>
    <t>3'7 3/4</t>
  </si>
  <si>
    <t>Garage L</t>
  </si>
  <si>
    <t>Garage H</t>
  </si>
  <si>
    <t>East</t>
  </si>
  <si>
    <t>West</t>
  </si>
  <si>
    <t>35'8"</t>
  </si>
  <si>
    <t>22'8"</t>
  </si>
  <si>
    <t>20'6"</t>
  </si>
  <si>
    <t>Mbath-S</t>
  </si>
  <si>
    <t>Mbath-T</t>
  </si>
  <si>
    <t>5'9-1/2"</t>
  </si>
  <si>
    <t>8'10"</t>
  </si>
  <si>
    <t>9'2-5/8</t>
  </si>
  <si>
    <t>18'8-7/8"</t>
  </si>
  <si>
    <t>11'9-7/8"</t>
  </si>
  <si>
    <t>14'5-9/16</t>
  </si>
  <si>
    <t>19'4-7/8</t>
  </si>
  <si>
    <t>Bath R</t>
  </si>
  <si>
    <t>Bath F</t>
  </si>
  <si>
    <t>7'9-9/16"</t>
  </si>
  <si>
    <t>6'1-1/4"</t>
  </si>
  <si>
    <t>10'4-3/8</t>
  </si>
  <si>
    <t>Hall Stair</t>
  </si>
  <si>
    <t>15'6"</t>
  </si>
  <si>
    <t>10'6-1/4"</t>
  </si>
  <si>
    <t>Rear Stair</t>
  </si>
  <si>
    <t>25'6"</t>
  </si>
  <si>
    <t>Floor</t>
  </si>
  <si>
    <t>Interior Space</t>
  </si>
  <si>
    <t>Footprint</t>
  </si>
  <si>
    <t>21'10"</t>
  </si>
  <si>
    <t>24'2"</t>
  </si>
  <si>
    <t>Rise</t>
  </si>
  <si>
    <t>Run</t>
  </si>
  <si>
    <t>Pitch</t>
  </si>
  <si>
    <t>Width</t>
  </si>
  <si>
    <t>Diag</t>
  </si>
  <si>
    <t>Area</t>
  </si>
  <si>
    <t>Roof SE</t>
  </si>
  <si>
    <t>Roof NE</t>
  </si>
  <si>
    <t>Roof SW</t>
  </si>
  <si>
    <t>Roof NW</t>
  </si>
  <si>
    <t>Main House</t>
  </si>
  <si>
    <t>SF</t>
  </si>
  <si>
    <t>Footer</t>
  </si>
  <si>
    <t>Basement Walls</t>
  </si>
  <si>
    <t>LF</t>
  </si>
  <si>
    <t xml:space="preserve">Total </t>
  </si>
  <si>
    <t>Yards</t>
  </si>
  <si>
    <t>Porch</t>
  </si>
  <si>
    <t>Lally</t>
  </si>
  <si>
    <t>I-Joists</t>
  </si>
  <si>
    <t>Rim-Joists</t>
  </si>
  <si>
    <t>Num</t>
  </si>
  <si>
    <t>Length</t>
  </si>
  <si>
    <t>TJI-360-14"</t>
  </si>
  <si>
    <t>1-1/8 x 14</t>
  </si>
  <si>
    <t>2x12</t>
  </si>
  <si>
    <t>Stairs and support</t>
  </si>
  <si>
    <t>West end of stairs</t>
  </si>
  <si>
    <t>32' blocking Main NS</t>
  </si>
  <si>
    <t>13' blocking under EW Music roomwall</t>
  </si>
  <si>
    <t>Joist Data</t>
  </si>
  <si>
    <t>TJI 360</t>
  </si>
  <si>
    <t>Wt/Ft</t>
  </si>
  <si>
    <t>Moment</t>
  </si>
  <si>
    <t>Shear</t>
  </si>
  <si>
    <t>EndReaction</t>
  </si>
  <si>
    <t>Intermed Reaction</t>
  </si>
  <si>
    <t>Parallam</t>
  </si>
  <si>
    <t>2x8</t>
  </si>
  <si>
    <t>2x10</t>
  </si>
  <si>
    <t>2x6</t>
  </si>
  <si>
    <t>2x4</t>
  </si>
  <si>
    <t>Section Modulus</t>
  </si>
  <si>
    <t>Ixx</t>
  </si>
  <si>
    <t>E</t>
  </si>
  <si>
    <t>SPF</t>
  </si>
  <si>
    <t>Do Fir</t>
  </si>
  <si>
    <t>Gluam</t>
  </si>
  <si>
    <t>Steel</t>
  </si>
  <si>
    <t>TJI 230</t>
  </si>
  <si>
    <t>W10x22</t>
  </si>
  <si>
    <t>W10x26</t>
  </si>
  <si>
    <t>W16x36</t>
  </si>
  <si>
    <t>in × lbf/ft</t>
  </si>
  <si>
    <r>
      <t>(in</t>
    </r>
    <r>
      <rPr>
        <vertAlign val="superscript"/>
        <sz val="8"/>
        <color indexed="63"/>
        <rFont val="Verdana"/>
        <family val="2"/>
      </rPr>
      <t>2</t>
    </r>
    <r>
      <rPr>
        <sz val="8"/>
        <color indexed="63"/>
        <rFont val="Verdana"/>
        <family val="2"/>
      </rPr>
      <t>)</t>
    </r>
  </si>
  <si>
    <t>d</t>
  </si>
  <si>
    <t>(in)</t>
  </si>
  <si>
    <r>
      <t>b</t>
    </r>
    <r>
      <rPr>
        <b/>
        <i/>
        <vertAlign val="subscript"/>
        <sz val="10"/>
        <color indexed="63"/>
        <rFont val="Verdana"/>
        <family val="2"/>
      </rPr>
      <t>f</t>
    </r>
  </si>
  <si>
    <r>
      <t>t</t>
    </r>
    <r>
      <rPr>
        <b/>
        <i/>
        <vertAlign val="subscript"/>
        <sz val="10"/>
        <color indexed="63"/>
        <rFont val="Verdana"/>
        <family val="2"/>
      </rPr>
      <t>f</t>
    </r>
  </si>
  <si>
    <r>
      <t>t</t>
    </r>
    <r>
      <rPr>
        <b/>
        <i/>
        <vertAlign val="subscript"/>
        <sz val="10"/>
        <color indexed="63"/>
        <rFont val="Verdana"/>
        <family val="2"/>
      </rPr>
      <t>w</t>
    </r>
  </si>
  <si>
    <r>
      <t>(in</t>
    </r>
    <r>
      <rPr>
        <vertAlign val="superscript"/>
        <sz val="8"/>
        <color indexed="63"/>
        <rFont val="Verdana"/>
        <family val="2"/>
      </rPr>
      <t>4</t>
    </r>
    <r>
      <rPr>
        <sz val="8"/>
        <color indexed="63"/>
        <rFont val="Verdana"/>
        <family val="2"/>
      </rPr>
      <t>)</t>
    </r>
  </si>
  <si>
    <t>Zxx</t>
  </si>
  <si>
    <r>
      <t>(in</t>
    </r>
    <r>
      <rPr>
        <vertAlign val="superscript"/>
        <sz val="8"/>
        <color indexed="63"/>
        <rFont val="Verdana"/>
        <family val="2"/>
      </rPr>
      <t>3</t>
    </r>
    <r>
      <rPr>
        <sz val="8"/>
        <color indexed="63"/>
        <rFont val="Verdana"/>
        <family val="2"/>
      </rPr>
      <t>)</t>
    </r>
  </si>
  <si>
    <t>kxx</t>
  </si>
  <si>
    <t>Iyy</t>
  </si>
  <si>
    <t>Zyy</t>
  </si>
  <si>
    <t>kyy</t>
  </si>
  <si>
    <t>W16 × 36</t>
  </si>
  <si>
    <t>W10 × 26</t>
  </si>
  <si>
    <t>W10 × 22</t>
  </si>
  <si>
    <t>bf</t>
  </si>
  <si>
    <t>tf</t>
  </si>
  <si>
    <t>tw</t>
  </si>
  <si>
    <t>(in2)</t>
  </si>
  <si>
    <t>(in4)</t>
  </si>
  <si>
    <t>(in3)</t>
  </si>
  <si>
    <t>Fb</t>
  </si>
  <si>
    <t>Fv</t>
  </si>
  <si>
    <t>5.25x9.25 parallam approx same as 3-2x12</t>
  </si>
  <si>
    <t>http://www.southernpine.com/speciescomparisons2x10.shtml</t>
  </si>
  <si>
    <t>3rd Floor</t>
  </si>
  <si>
    <t>Headers Walls</t>
  </si>
  <si>
    <t>1st Floor</t>
  </si>
  <si>
    <t>North</t>
  </si>
  <si>
    <t>South</t>
  </si>
  <si>
    <t>Center NS</t>
  </si>
  <si>
    <t>Stair North</t>
  </si>
  <si>
    <t>Stair S</t>
  </si>
  <si>
    <t>Music EW</t>
  </si>
  <si>
    <t>Music NS</t>
  </si>
  <si>
    <t>Breeze</t>
  </si>
  <si>
    <t>3-2x12</t>
  </si>
  <si>
    <t>2x6x10'</t>
  </si>
  <si>
    <t>2x6x8'</t>
  </si>
  <si>
    <t>2x6 Base-Top Ft.</t>
  </si>
  <si>
    <t>2x6 misc Ft</t>
  </si>
  <si>
    <t xml:space="preserve">3-2x8 </t>
  </si>
  <si>
    <t>Total Board</t>
  </si>
  <si>
    <t>Total Feet</t>
  </si>
  <si>
    <t xml:space="preserve"> </t>
  </si>
  <si>
    <t>Lumber Pricing</t>
  </si>
  <si>
    <t>Cost Per Board</t>
  </si>
  <si>
    <t>Cost Per Foot</t>
  </si>
  <si>
    <t>2nd Floor</t>
  </si>
  <si>
    <t>Bath Center S</t>
  </si>
  <si>
    <t>Phoebe East</t>
  </si>
  <si>
    <t>3-2x10</t>
  </si>
  <si>
    <t>Ustair North</t>
  </si>
  <si>
    <t>Bath North</t>
  </si>
  <si>
    <t>Bath South</t>
  </si>
  <si>
    <t>3 2x6</t>
  </si>
  <si>
    <t>Bath West+Ph Etc.</t>
  </si>
  <si>
    <t>TJI-360-14</t>
  </si>
  <si>
    <t xml:space="preserve">North </t>
  </si>
  <si>
    <t>2x6x12'</t>
  </si>
  <si>
    <t>South+misc</t>
  </si>
  <si>
    <t>End Panels</t>
  </si>
  <si>
    <t>End Panel East</t>
  </si>
  <si>
    <t>1-1/8x14 Rim</t>
  </si>
  <si>
    <t>Total Lumber Walls</t>
  </si>
  <si>
    <t>Total RimJoists</t>
  </si>
  <si>
    <t>Total TJI-360-14</t>
  </si>
  <si>
    <t>Total Sheathing Roof</t>
  </si>
  <si>
    <t>Total Sheating Floors</t>
  </si>
  <si>
    <t>Total Windows</t>
  </si>
  <si>
    <t>Bundles</t>
  </si>
  <si>
    <t>Price Per Bundle</t>
  </si>
  <si>
    <t>Sheathing</t>
  </si>
  <si>
    <t>Roof Main Plus Garage</t>
  </si>
  <si>
    <t>House North</t>
  </si>
  <si>
    <t>House South</t>
  </si>
  <si>
    <t>House East</t>
  </si>
  <si>
    <t>House West</t>
  </si>
  <si>
    <t>Garage North</t>
  </si>
  <si>
    <t>Garage South</t>
  </si>
  <si>
    <t>Garage East</t>
  </si>
  <si>
    <t>Garage West</t>
  </si>
  <si>
    <t>Flooring</t>
  </si>
  <si>
    <t>1st</t>
  </si>
  <si>
    <t>2nd</t>
  </si>
  <si>
    <t>3rd</t>
  </si>
  <si>
    <t>WIC</t>
  </si>
  <si>
    <t>End</t>
  </si>
  <si>
    <t>2x4x8</t>
  </si>
  <si>
    <t>2x4 LF</t>
  </si>
  <si>
    <t>WIC W</t>
  </si>
  <si>
    <t>Wic E</t>
  </si>
  <si>
    <t>Wic N</t>
  </si>
  <si>
    <t>WIC End</t>
  </si>
  <si>
    <t>Sheathing - OSB</t>
  </si>
  <si>
    <t>Sheathgin 1/2 Ply</t>
  </si>
  <si>
    <t>Sheathign 3/4 Ply</t>
  </si>
  <si>
    <t>Cost OSB</t>
  </si>
  <si>
    <t>Cost HalfPly</t>
  </si>
  <si>
    <t>Cost TQPly</t>
  </si>
  <si>
    <t>OSB-/4 Subfloor</t>
  </si>
  <si>
    <t>Cost OSB-3/4 T&amp;G</t>
  </si>
  <si>
    <t>Total Luan Floors</t>
  </si>
  <si>
    <t>Cost Luan 5.2</t>
  </si>
  <si>
    <t>Luan 5.2</t>
  </si>
  <si>
    <t>Total Sheathing Outside Walls</t>
  </si>
  <si>
    <t>OSB</t>
  </si>
  <si>
    <t>3/4 ply</t>
  </si>
  <si>
    <t>Roof</t>
  </si>
  <si>
    <t>EIx10^6</t>
  </si>
  <si>
    <t>Rafters East</t>
  </si>
  <si>
    <t>Rafters West</t>
  </si>
  <si>
    <t>RidgeBeamEast</t>
  </si>
  <si>
    <t>RidgeBeamWest</t>
  </si>
  <si>
    <t>2x8 LF Rafters</t>
  </si>
  <si>
    <t>2x12 LF Rafters</t>
  </si>
  <si>
    <t>Total Drywall</t>
  </si>
  <si>
    <t>Cost Tyvec</t>
  </si>
  <si>
    <t>Tyvec</t>
  </si>
  <si>
    <t>Drywall 4x8</t>
  </si>
  <si>
    <t>Drywall 4x12</t>
  </si>
  <si>
    <t>Drywall - Bath 4x8</t>
  </si>
  <si>
    <t>Drywall 4x10</t>
  </si>
  <si>
    <t>Total Tyvec</t>
  </si>
  <si>
    <t>Sheathing Est:</t>
  </si>
  <si>
    <t>Misc Overlap (10 sheets)</t>
  </si>
  <si>
    <t>SS</t>
  </si>
  <si>
    <t>Temp</t>
  </si>
  <si>
    <t>E4</t>
  </si>
  <si>
    <t>List</t>
  </si>
  <si>
    <t>CW145</t>
  </si>
  <si>
    <t>Ply-3/4 T&amp;G Subfloor</t>
  </si>
  <si>
    <t>Drywall 4x8 Fire</t>
  </si>
  <si>
    <t>Sheathgin 5/8 Ply</t>
  </si>
  <si>
    <t>Cost Ply-TQ-T&amp;G</t>
  </si>
  <si>
    <t>1/2 Ply + 3/4 Flr</t>
  </si>
  <si>
    <t>Garage Roof</t>
  </si>
  <si>
    <t>Garage RidgeBeam</t>
  </si>
  <si>
    <t>Paralam 5.25x16</t>
  </si>
  <si>
    <t>Paralam 5.25x11.25</t>
  </si>
  <si>
    <t>5.25x16 paralam</t>
  </si>
  <si>
    <t>11-7/8x5.25 PARALAM</t>
  </si>
  <si>
    <t>Paralam 11</t>
  </si>
  <si>
    <t>Paralam 16</t>
  </si>
  <si>
    <t>12'8-3/8</t>
  </si>
  <si>
    <t>Linear Feet</t>
  </si>
  <si>
    <t>22'8-3/8"</t>
  </si>
  <si>
    <t>Floor Area</t>
  </si>
  <si>
    <t>Wall Area</t>
  </si>
  <si>
    <t>Est LF/SF</t>
  </si>
  <si>
    <t>AdvanTECH</t>
  </si>
  <si>
    <t>Cost Advan</t>
  </si>
  <si>
    <t>2x8 LF Rafters 18'</t>
  </si>
  <si>
    <t>2x8 LF Rafters 26'</t>
  </si>
  <si>
    <t>2x12 LF Rafters 24'</t>
  </si>
  <si>
    <t>2x8x26</t>
  </si>
  <si>
    <t>2x8x18</t>
  </si>
  <si>
    <t>2x12x24</t>
  </si>
  <si>
    <t>Sheets</t>
  </si>
  <si>
    <t>Advantec - All Sheathing, flooring roof</t>
  </si>
  <si>
    <t>Advantec - All Floors and Roof, OSB Walls</t>
  </si>
  <si>
    <t>Sheets - Drywall</t>
  </si>
  <si>
    <t>Sheets High</t>
  </si>
  <si>
    <t>Sheet Length</t>
  </si>
  <si>
    <t>12' Sheets Walls</t>
  </si>
  <si>
    <t>12' Sheets Ceilings</t>
  </si>
  <si>
    <t xml:space="preserve">Sheets 4x12 </t>
  </si>
  <si>
    <t>Sheets 4x12</t>
  </si>
  <si>
    <t>Advantec</t>
  </si>
  <si>
    <t>DW</t>
  </si>
  <si>
    <t>Luan</t>
  </si>
  <si>
    <t>Number of Sticks</t>
  </si>
  <si>
    <t>Number LF</t>
  </si>
  <si>
    <t>5.25x16 paralam RIDGE</t>
  </si>
  <si>
    <t>3 2x6 Headers</t>
  </si>
  <si>
    <t>3-2x8 Headers</t>
  </si>
  <si>
    <t>3-2x10 Headers</t>
  </si>
  <si>
    <t>3-2x12 Headers</t>
  </si>
  <si>
    <t>Advanteck Flooring</t>
  </si>
  <si>
    <t>TJI-360/60 14</t>
  </si>
  <si>
    <t>Luan Flooring</t>
  </si>
  <si>
    <t>Roofing</t>
  </si>
  <si>
    <t>2x8 LF Rafters 22</t>
  </si>
  <si>
    <t>2x8x22</t>
  </si>
  <si>
    <t>Third Floor Attic</t>
  </si>
  <si>
    <t>2x8 Treated Sill Plate</t>
  </si>
  <si>
    <t>Sill Plate</t>
  </si>
  <si>
    <t>2x8 Sill Plate Treated</t>
  </si>
  <si>
    <t>Sheathing  Roof (OSB or min 4-ply CDX)</t>
  </si>
  <si>
    <t>Exterior Wall Sheathing (OSB)</t>
  </si>
  <si>
    <t>rolls</t>
  </si>
  <si>
    <t>Tyvec (9'x155)</t>
  </si>
  <si>
    <t>Squares</t>
  </si>
  <si>
    <t>Roofing Felt</t>
  </si>
  <si>
    <t>Windows</t>
  </si>
  <si>
    <t>CW16 - Smart Sun - Tempered</t>
  </si>
  <si>
    <t>C65BOW - Smart Sun</t>
  </si>
  <si>
    <t>P4060 Smart SunPicture</t>
  </si>
  <si>
    <t>CW26 Smart Sun</t>
  </si>
  <si>
    <t>P4060</t>
  </si>
  <si>
    <t>CW245 Smart Sun</t>
  </si>
  <si>
    <t>6x8 Slider FWG6080 SS</t>
  </si>
  <si>
    <t xml:space="preserve">All Andersen Low-E4 Glass, SmartSun, Pine Int, White Ext, Classis Handle, Stone, </t>
  </si>
  <si>
    <t>Total</t>
  </si>
  <si>
    <t>Instant-G</t>
  </si>
  <si>
    <t>373 West Chestnut Hill Road</t>
  </si>
  <si>
    <t>Newark DE 19713</t>
  </si>
  <si>
    <t xml:space="preserve">(302)559-5905       timmins@instant-g.com </t>
  </si>
  <si>
    <t>www.instant-g.com</t>
  </si>
  <si>
    <t>Steve Timmins</t>
  </si>
  <si>
    <t xml:space="preserve">CW16 - Smart Sun </t>
  </si>
  <si>
    <t>Total 2x6 Linear Feet</t>
  </si>
  <si>
    <t>HD List</t>
  </si>
  <si>
    <t>84 Lumber</t>
  </si>
  <si>
    <t>RimJoists - 1-1/8x14 (16 fooot)</t>
  </si>
  <si>
    <t>&gt;&gt; 2x10</t>
  </si>
  <si>
    <t>Youngs</t>
  </si>
  <si>
    <t>2x8 LF Rafters 12'</t>
  </si>
  <si>
    <t>2x8 LF Rafters 16'</t>
  </si>
  <si>
    <t>Shone</t>
  </si>
  <si>
    <t>Excavation</t>
  </si>
  <si>
    <t>Foundation</t>
  </si>
  <si>
    <t>Framing labor</t>
  </si>
  <si>
    <t>Shingles</t>
  </si>
  <si>
    <t>Misc Labor</t>
  </si>
  <si>
    <t>Roofing, includes felt, trim, drip, etc. Misc</t>
  </si>
  <si>
    <t>Doors</t>
  </si>
  <si>
    <t>Windows - Andersen Sliding Doors</t>
  </si>
  <si>
    <t>Electrical</t>
  </si>
  <si>
    <t>HVAC</t>
  </si>
  <si>
    <t>Drywall</t>
  </si>
  <si>
    <t>Plumbing</t>
  </si>
  <si>
    <t>Roofing Total</t>
  </si>
  <si>
    <t>Framing Lumber, sheathing, tyvek, etc.  Added 10%</t>
  </si>
  <si>
    <t>Home Depot</t>
  </si>
  <si>
    <t>square</t>
  </si>
  <si>
    <t>Lowes</t>
  </si>
  <si>
    <t>NA</t>
  </si>
  <si>
    <t>Lowest</t>
  </si>
  <si>
    <t>Lowes 10%</t>
  </si>
  <si>
    <t>Rental</t>
  </si>
  <si>
    <t xml:space="preserve">Delivery </t>
  </si>
  <si>
    <t>Dump Truck</t>
  </si>
  <si>
    <t>Labor (8 hours, $50, plus dep)</t>
  </si>
  <si>
    <t>Contacts</t>
  </si>
  <si>
    <t>Tim Green - Excavator $50 hr + rental</t>
  </si>
  <si>
    <t>275-8444</t>
  </si>
  <si>
    <t>838-6333</t>
  </si>
  <si>
    <t xml:space="preserve">Mervin Beiler Amish </t>
  </si>
  <si>
    <t>610-656-9389</t>
  </si>
  <si>
    <t>Young Lumber</t>
  </si>
  <si>
    <t>654-4838</t>
  </si>
  <si>
    <t>Lowes - Jeff Brown</t>
  </si>
  <si>
    <t xml:space="preserve">Shone - Rob Hoard </t>
  </si>
  <si>
    <t>rhoard@shonelumber.com</t>
  </si>
  <si>
    <t>Jeffrey.W.Brown@store.lowes.com</t>
  </si>
  <si>
    <t>84 Lumber - Drew Coleman</t>
  </si>
  <si>
    <t>COLEMAND@1001.84LUMBER.COM</t>
  </si>
  <si>
    <t>737-3084</t>
  </si>
  <si>
    <t>Bill Sterward Founations</t>
  </si>
  <si>
    <t>218-2029</t>
  </si>
  <si>
    <t>Mario Antanucci Concrete</t>
  </si>
  <si>
    <t xml:space="preserve">Ron Foster </t>
  </si>
  <si>
    <t xml:space="preserve">Robert Keating </t>
  </si>
  <si>
    <t>Peter Goldring</t>
  </si>
  <si>
    <t>610-639-1677</t>
  </si>
  <si>
    <t>Alvin Zook - Zook Builders</t>
  </si>
  <si>
    <t>717-629-6738</t>
  </si>
  <si>
    <t>Rich Burris Electrician</t>
  </si>
  <si>
    <t>218-3413</t>
  </si>
  <si>
    <t>Lee Dixon - Excavation</t>
  </si>
  <si>
    <t>242-9650</t>
  </si>
  <si>
    <t>275-3957</t>
  </si>
  <si>
    <t>Danby Lumber - Tim Farley</t>
  </si>
  <si>
    <t>610-636-2336</t>
  </si>
  <si>
    <t>Kevin - $1500 day +650 dump</t>
  </si>
  <si>
    <t>Zeigler's fgreind Kevin</t>
  </si>
  <si>
    <t>218-3530</t>
  </si>
  <si>
    <t xml:space="preserve">Keith Baker - Tri Supply </t>
  </si>
  <si>
    <t>Size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</si>
</sst>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.0_);[Red]\(&quot;$&quot;#,##0.0\)"/>
    <numFmt numFmtId="167" formatCode="[$-409]dddd\,\ mmmm\ dd\,\ yyyy"/>
    <numFmt numFmtId="168" formatCode="[$-409]h:mm:ss\ AM/PM"/>
    <numFmt numFmtId="169" formatCode="&quot;$&quot;#,##0.00"/>
    <numFmt numFmtId="170" formatCode="&quot;$&quot;#,##0.0"/>
    <numFmt numFmtId="171" formatCode="&quot;$&quot;#,##0"/>
    <numFmt numFmtId="172" formatCode="0.000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_);_(* \(#,##0.000\);_(* &quot;-&quot;??_);_(@_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0.00000"/>
    <numFmt numFmtId="184" formatCode="0.0000"/>
    <numFmt numFmtId="185" formatCode="0.0000000"/>
    <numFmt numFmtId="186" formatCode="0.000000"/>
    <numFmt numFmtId="187" formatCode="_(* #,##0.0000_);_(* \(#,##0.0000\);_(* &quot;-&quot;??_);_(@_)"/>
    <numFmt numFmtId="188" formatCode="_(* #,##0.0000_);_(* \(#,##0.0000\);_(* &quot;-&quot;??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_(* #,##0.000_);_(* \(#,##0.000\);_(* &quot;-&quot;?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63"/>
      <name val="Verdana"/>
      <family val="2"/>
    </font>
    <font>
      <vertAlign val="superscript"/>
      <sz val="8"/>
      <color indexed="63"/>
      <name val="Verdana"/>
      <family val="2"/>
    </font>
    <font>
      <b/>
      <i/>
      <vertAlign val="subscript"/>
      <sz val="10"/>
      <color indexed="63"/>
      <name val="Verdana"/>
      <family val="2"/>
    </font>
    <font>
      <b/>
      <i/>
      <sz val="10"/>
      <color indexed="21"/>
      <name val="Tahoma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Verdana"/>
      <family val="2"/>
    </font>
    <font>
      <b/>
      <i/>
      <sz val="10"/>
      <color indexed="63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33333"/>
      <name val="Verdana"/>
      <family val="2"/>
    </font>
    <font>
      <sz val="8"/>
      <color rgb="FF333333"/>
      <name val="Verdana"/>
      <family val="2"/>
    </font>
    <font>
      <b/>
      <i/>
      <sz val="10"/>
      <color rgb="FF333333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EEEE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0">
    <xf numFmtId="0" fontId="0" fillId="0" borderId="0" xfId="0" applyFont="1" applyAlignment="1">
      <alignment/>
    </xf>
    <xf numFmtId="0" fontId="0" fillId="33" borderId="0" xfId="0" applyFill="1" applyAlignment="1">
      <alignment/>
    </xf>
    <xf numFmtId="171" fontId="0" fillId="0" borderId="0" xfId="0" applyNumberFormat="1" applyAlignment="1">
      <alignment/>
    </xf>
    <xf numFmtId="171" fontId="0" fillId="0" borderId="0" xfId="44" applyNumberFormat="1" applyFont="1" applyAlignment="1">
      <alignment/>
    </xf>
    <xf numFmtId="175" fontId="0" fillId="0" borderId="0" xfId="42" applyNumberFormat="1" applyFont="1" applyAlignment="1">
      <alignment/>
    </xf>
    <xf numFmtId="175" fontId="0" fillId="0" borderId="0" xfId="0" applyNumberFormat="1" applyAlignment="1">
      <alignment/>
    </xf>
    <xf numFmtId="43" fontId="0" fillId="0" borderId="0" xfId="42" applyFont="1" applyAlignment="1">
      <alignment/>
    </xf>
    <xf numFmtId="20" fontId="0" fillId="0" borderId="0" xfId="42" applyNumberFormat="1" applyFont="1" applyAlignment="1">
      <alignment/>
    </xf>
    <xf numFmtId="20" fontId="0" fillId="0" borderId="0" xfId="0" applyNumberFormat="1" applyAlignment="1">
      <alignment/>
    </xf>
    <xf numFmtId="175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43" fontId="0" fillId="0" borderId="10" xfId="0" applyNumberFormat="1" applyBorder="1" applyAlignment="1">
      <alignment/>
    </xf>
    <xf numFmtId="43" fontId="0" fillId="0" borderId="10" xfId="42" applyFont="1" applyBorder="1" applyAlignment="1">
      <alignment/>
    </xf>
    <xf numFmtId="44" fontId="0" fillId="0" borderId="0" xfId="44" applyFont="1" applyAlignment="1">
      <alignment/>
    </xf>
    <xf numFmtId="13" fontId="0" fillId="0" borderId="0" xfId="0" applyNumberFormat="1" applyAlignment="1">
      <alignment/>
    </xf>
    <xf numFmtId="0" fontId="0" fillId="0" borderId="0" xfId="0" applyAlignment="1">
      <alignment wrapText="1"/>
    </xf>
    <xf numFmtId="43" fontId="0" fillId="0" borderId="0" xfId="42" applyFont="1" applyAlignment="1">
      <alignment/>
    </xf>
    <xf numFmtId="174" fontId="0" fillId="0" borderId="0" xfId="42" applyNumberFormat="1" applyFont="1" applyAlignment="1">
      <alignment/>
    </xf>
    <xf numFmtId="175" fontId="0" fillId="0" borderId="0" xfId="42" applyNumberFormat="1" applyFont="1" applyAlignment="1">
      <alignment/>
    </xf>
    <xf numFmtId="0" fontId="45" fillId="34" borderId="0" xfId="0" applyFont="1" applyFill="1" applyAlignment="1">
      <alignment horizontal="center" wrapText="1"/>
    </xf>
    <xf numFmtId="0" fontId="46" fillId="34" borderId="0" xfId="0" applyFont="1" applyFill="1" applyAlignment="1">
      <alignment horizontal="center" wrapText="1"/>
    </xf>
    <xf numFmtId="0" fontId="47" fillId="34" borderId="0" xfId="0" applyFont="1" applyFill="1" applyAlignment="1">
      <alignment horizontal="center" wrapText="1"/>
    </xf>
    <xf numFmtId="0" fontId="46" fillId="35" borderId="0" xfId="0" applyFont="1" applyFill="1" applyAlignment="1">
      <alignment wrapText="1"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180" fontId="0" fillId="0" borderId="0" xfId="42" applyNumberFormat="1" applyFont="1" applyAlignment="1">
      <alignment/>
    </xf>
    <xf numFmtId="0" fontId="0" fillId="0" borderId="0" xfId="0" applyFill="1" applyAlignment="1">
      <alignment/>
    </xf>
    <xf numFmtId="43" fontId="0" fillId="0" borderId="0" xfId="42" applyFont="1" applyAlignment="1">
      <alignment/>
    </xf>
    <xf numFmtId="44" fontId="0" fillId="36" borderId="0" xfId="44" applyFont="1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44" fontId="0" fillId="0" borderId="0" xfId="0" applyNumberFormat="1" applyAlignment="1">
      <alignment/>
    </xf>
    <xf numFmtId="171" fontId="0" fillId="36" borderId="0" xfId="0" applyNumberFormat="1" applyFill="1" applyAlignment="1">
      <alignment/>
    </xf>
    <xf numFmtId="175" fontId="0" fillId="0" borderId="0" xfId="42" applyNumberFormat="1" applyFont="1" applyAlignment="1">
      <alignment/>
    </xf>
    <xf numFmtId="44" fontId="0" fillId="0" borderId="0" xfId="44" applyFont="1" applyFill="1" applyAlignment="1">
      <alignment/>
    </xf>
    <xf numFmtId="175" fontId="0" fillId="33" borderId="0" xfId="42" applyNumberFormat="1" applyFont="1" applyFill="1" applyAlignment="1">
      <alignment/>
    </xf>
    <xf numFmtId="175" fontId="0" fillId="0" borderId="0" xfId="42" applyNumberFormat="1" applyFont="1" applyFill="1" applyAlignment="1">
      <alignment/>
    </xf>
    <xf numFmtId="175" fontId="0" fillId="38" borderId="0" xfId="42" applyNumberFormat="1" applyFont="1" applyFill="1" applyAlignment="1">
      <alignment/>
    </xf>
    <xf numFmtId="175" fontId="0" fillId="36" borderId="0" xfId="42" applyNumberFormat="1" applyFont="1" applyFill="1" applyAlignment="1">
      <alignment/>
    </xf>
    <xf numFmtId="182" fontId="0" fillId="0" borderId="0" xfId="44" applyNumberFormat="1" applyFont="1" applyFill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5" fontId="0" fillId="0" borderId="0" xfId="42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5" fontId="0" fillId="0" borderId="12" xfId="42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75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0" fontId="0" fillId="0" borderId="15" xfId="0" applyBorder="1" applyAlignment="1">
      <alignment/>
    </xf>
    <xf numFmtId="43" fontId="0" fillId="0" borderId="15" xfId="42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5" fontId="0" fillId="0" borderId="17" xfId="42" applyNumberFormat="1" applyFont="1" applyBorder="1" applyAlignment="1">
      <alignment/>
    </xf>
    <xf numFmtId="43" fontId="0" fillId="0" borderId="17" xfId="42" applyFont="1" applyBorder="1" applyAlignment="1">
      <alignment/>
    </xf>
    <xf numFmtId="44" fontId="0" fillId="36" borderId="18" xfId="44" applyFont="1" applyFill="1" applyBorder="1" applyAlignment="1">
      <alignment/>
    </xf>
    <xf numFmtId="175" fontId="0" fillId="0" borderId="0" xfId="42" applyNumberFormat="1" applyFont="1" applyAlignment="1">
      <alignment wrapText="1"/>
    </xf>
    <xf numFmtId="43" fontId="0" fillId="0" borderId="0" xfId="42" applyFont="1" applyAlignment="1">
      <alignment/>
    </xf>
    <xf numFmtId="0" fontId="0" fillId="0" borderId="0" xfId="0" applyAlignment="1">
      <alignment horizontal="center"/>
    </xf>
    <xf numFmtId="165" fontId="0" fillId="36" borderId="0" xfId="44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44" applyNumberFormat="1" applyFont="1" applyFill="1" applyAlignment="1">
      <alignment/>
    </xf>
    <xf numFmtId="175" fontId="0" fillId="0" borderId="0" xfId="42" applyNumberFormat="1" applyFont="1" applyAlignment="1">
      <alignment wrapText="1"/>
    </xf>
    <xf numFmtId="180" fontId="0" fillId="33" borderId="0" xfId="42" applyNumberFormat="1" applyFont="1" applyFill="1" applyAlignment="1">
      <alignment/>
    </xf>
    <xf numFmtId="180" fontId="0" fillId="0" borderId="0" xfId="42" applyNumberFormat="1" applyFont="1" applyAlignment="1">
      <alignment/>
    </xf>
    <xf numFmtId="180" fontId="0" fillId="37" borderId="0" xfId="42" applyNumberFormat="1" applyFont="1" applyFill="1" applyAlignment="1">
      <alignment/>
    </xf>
    <xf numFmtId="180" fontId="0" fillId="36" borderId="0" xfId="42" applyNumberFormat="1" applyFont="1" applyFill="1" applyAlignment="1">
      <alignment/>
    </xf>
    <xf numFmtId="180" fontId="0" fillId="0" borderId="12" xfId="42" applyNumberFormat="1" applyFont="1" applyBorder="1" applyAlignment="1">
      <alignment/>
    </xf>
    <xf numFmtId="180" fontId="0" fillId="0" borderId="0" xfId="42" applyNumberFormat="1" applyFont="1" applyBorder="1" applyAlignment="1">
      <alignment/>
    </xf>
    <xf numFmtId="180" fontId="0" fillId="0" borderId="17" xfId="42" applyNumberFormat="1" applyFont="1" applyBorder="1" applyAlignment="1">
      <alignment/>
    </xf>
    <xf numFmtId="180" fontId="0" fillId="0" borderId="0" xfId="42" applyNumberFormat="1" applyFont="1" applyFill="1" applyAlignment="1">
      <alignment/>
    </xf>
    <xf numFmtId="180" fontId="0" fillId="38" borderId="0" xfId="42" applyNumberFormat="1" applyFont="1" applyFill="1" applyAlignment="1">
      <alignment/>
    </xf>
    <xf numFmtId="180" fontId="0" fillId="0" borderId="0" xfId="42" applyNumberFormat="1" applyFont="1" applyAlignment="1">
      <alignment wrapText="1"/>
    </xf>
    <xf numFmtId="180" fontId="0" fillId="0" borderId="0" xfId="42" applyNumberFormat="1" applyFont="1" applyAlignment="1">
      <alignment wrapText="1"/>
    </xf>
    <xf numFmtId="180" fontId="0" fillId="0" borderId="0" xfId="42" applyNumberFormat="1" applyFont="1" applyFill="1" applyAlignment="1">
      <alignment/>
    </xf>
    <xf numFmtId="182" fontId="0" fillId="0" borderId="0" xfId="44" applyNumberFormat="1" applyFont="1" applyAlignment="1">
      <alignment/>
    </xf>
    <xf numFmtId="182" fontId="0" fillId="0" borderId="0" xfId="44" applyNumberFormat="1" applyFont="1" applyBorder="1" applyAlignment="1">
      <alignment/>
    </xf>
    <xf numFmtId="182" fontId="0" fillId="39" borderId="0" xfId="44" applyNumberFormat="1" applyFont="1" applyFill="1" applyAlignment="1">
      <alignment/>
    </xf>
    <xf numFmtId="182" fontId="0" fillId="37" borderId="0" xfId="44" applyNumberFormat="1" applyFont="1" applyFill="1" applyAlignment="1">
      <alignment/>
    </xf>
    <xf numFmtId="175" fontId="0" fillId="0" borderId="0" xfId="42" applyNumberFormat="1" applyFont="1" applyAlignment="1">
      <alignment/>
    </xf>
    <xf numFmtId="175" fontId="43" fillId="0" borderId="0" xfId="42" applyNumberFormat="1" applyFont="1" applyAlignment="1">
      <alignment/>
    </xf>
    <xf numFmtId="175" fontId="0" fillId="0" borderId="0" xfId="42" applyNumberFormat="1" applyFont="1" applyAlignment="1">
      <alignment/>
    </xf>
    <xf numFmtId="0" fontId="0" fillId="40" borderId="0" xfId="0" applyFill="1" applyAlignment="1">
      <alignment/>
    </xf>
    <xf numFmtId="165" fontId="0" fillId="0" borderId="0" xfId="0" applyNumberFormat="1" applyAlignment="1">
      <alignment/>
    </xf>
    <xf numFmtId="175" fontId="0" fillId="33" borderId="0" xfId="42" applyNumberFormat="1" applyFont="1" applyFill="1" applyAlignment="1">
      <alignment/>
    </xf>
    <xf numFmtId="175" fontId="0" fillId="0" borderId="12" xfId="42" applyNumberFormat="1" applyFont="1" applyBorder="1" applyAlignment="1">
      <alignment/>
    </xf>
    <xf numFmtId="175" fontId="0" fillId="0" borderId="0" xfId="42" applyNumberFormat="1" applyFont="1" applyBorder="1" applyAlignment="1">
      <alignment/>
    </xf>
    <xf numFmtId="175" fontId="0" fillId="0" borderId="17" xfId="42" applyNumberFormat="1" applyFont="1" applyBorder="1" applyAlignment="1">
      <alignment/>
    </xf>
    <xf numFmtId="175" fontId="0" fillId="0" borderId="0" xfId="42" applyNumberFormat="1" applyFont="1" applyFill="1" applyAlignment="1">
      <alignment/>
    </xf>
    <xf numFmtId="175" fontId="0" fillId="38" borderId="0" xfId="42" applyNumberFormat="1" applyFont="1" applyFill="1" applyAlignment="1">
      <alignment/>
    </xf>
    <xf numFmtId="175" fontId="0" fillId="37" borderId="0" xfId="42" applyNumberFormat="1" applyFont="1" applyFill="1" applyAlignment="1">
      <alignment/>
    </xf>
    <xf numFmtId="175" fontId="0" fillId="0" borderId="0" xfId="42" applyNumberFormat="1" applyFont="1" applyAlignment="1">
      <alignment wrapText="1"/>
    </xf>
    <xf numFmtId="175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175" fontId="0" fillId="0" borderId="0" xfId="42" applyNumberFormat="1" applyFont="1" applyAlignment="1">
      <alignment wrapText="1"/>
    </xf>
    <xf numFmtId="17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5" fontId="0" fillId="0" borderId="0" xfId="42" applyNumberFormat="1" applyFont="1" applyAlignment="1">
      <alignment wrapText="1"/>
    </xf>
    <xf numFmtId="0" fontId="0" fillId="36" borderId="0" xfId="0" applyFill="1" applyAlignment="1">
      <alignment/>
    </xf>
    <xf numFmtId="175" fontId="0" fillId="0" borderId="17" xfId="0" applyNumberFormat="1" applyBorder="1" applyAlignment="1">
      <alignment/>
    </xf>
    <xf numFmtId="0" fontId="0" fillId="0" borderId="19" xfId="0" applyFill="1" applyBorder="1" applyAlignment="1">
      <alignment/>
    </xf>
    <xf numFmtId="1" fontId="0" fillId="0" borderId="19" xfId="0" applyNumberFormat="1" applyFill="1" applyBorder="1" applyAlignment="1">
      <alignment/>
    </xf>
    <xf numFmtId="0" fontId="0" fillId="0" borderId="19" xfId="0" applyBorder="1" applyAlignment="1">
      <alignment/>
    </xf>
    <xf numFmtId="175" fontId="0" fillId="0" borderId="19" xfId="42" applyNumberFormat="1" applyFont="1" applyBorder="1" applyAlignment="1">
      <alignment/>
    </xf>
    <xf numFmtId="1" fontId="0" fillId="0" borderId="19" xfId="0" applyNumberFormat="1" applyBorder="1" applyAlignment="1">
      <alignment/>
    </xf>
    <xf numFmtId="174" fontId="0" fillId="0" borderId="19" xfId="42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43" fontId="6" fillId="0" borderId="0" xfId="42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0" xfId="0" applyFill="1" applyBorder="1" applyAlignment="1">
      <alignment/>
    </xf>
    <xf numFmtId="175" fontId="0" fillId="33" borderId="19" xfId="42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175" fontId="0" fillId="0" borderId="19" xfId="0" applyNumberFormat="1" applyFill="1" applyBorder="1" applyAlignment="1">
      <alignment/>
    </xf>
    <xf numFmtId="43" fontId="0" fillId="33" borderId="19" xfId="42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0" fontId="0" fillId="0" borderId="28" xfId="0" applyFill="1" applyBorder="1" applyAlignment="1">
      <alignment/>
    </xf>
    <xf numFmtId="43" fontId="0" fillId="0" borderId="19" xfId="0" applyNumberFormat="1" applyBorder="1" applyAlignment="1">
      <alignment/>
    </xf>
    <xf numFmtId="43" fontId="0" fillId="0" borderId="0" xfId="42" applyFont="1" applyAlignment="1">
      <alignment/>
    </xf>
    <xf numFmtId="43" fontId="0" fillId="0" borderId="19" xfId="42" applyFont="1" applyBorder="1" applyAlignment="1">
      <alignment/>
    </xf>
    <xf numFmtId="43" fontId="0" fillId="0" borderId="0" xfId="42" applyFont="1" applyFill="1" applyAlignment="1">
      <alignment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9" xfId="0" applyBorder="1" applyAlignment="1">
      <alignment/>
    </xf>
    <xf numFmtId="43" fontId="0" fillId="0" borderId="19" xfId="42" applyFont="1" applyFill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Fill="1" applyAlignment="1">
      <alignment/>
    </xf>
    <xf numFmtId="180" fontId="0" fillId="0" borderId="0" xfId="42" applyNumberFormat="1" applyFont="1" applyAlignment="1">
      <alignment/>
    </xf>
    <xf numFmtId="180" fontId="0" fillId="0" borderId="19" xfId="42" applyNumberFormat="1" applyFont="1" applyBorder="1" applyAlignment="1">
      <alignment/>
    </xf>
    <xf numFmtId="180" fontId="0" fillId="0" borderId="0" xfId="42" applyNumberFormat="1" applyFont="1" applyFill="1" applyAlignment="1">
      <alignment/>
    </xf>
    <xf numFmtId="187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80" fontId="0" fillId="0" borderId="19" xfId="42" applyNumberFormat="1" applyFont="1" applyFill="1" applyBorder="1" applyAlignment="1">
      <alignment/>
    </xf>
    <xf numFmtId="175" fontId="0" fillId="0" borderId="19" xfId="42" applyNumberFormat="1" applyFont="1" applyFill="1" applyBorder="1" applyAlignment="1">
      <alignment/>
    </xf>
    <xf numFmtId="180" fontId="0" fillId="0" borderId="0" xfId="42" applyNumberFormat="1" applyFont="1" applyFill="1" applyBorder="1" applyAlignment="1">
      <alignment/>
    </xf>
    <xf numFmtId="175" fontId="0" fillId="0" borderId="0" xfId="42" applyNumberFormat="1" applyFont="1" applyFill="1" applyBorder="1" applyAlignment="1">
      <alignment/>
    </xf>
    <xf numFmtId="180" fontId="0" fillId="0" borderId="22" xfId="42" applyNumberFormat="1" applyFont="1" applyFill="1" applyBorder="1" applyAlignment="1">
      <alignment/>
    </xf>
    <xf numFmtId="175" fontId="0" fillId="0" borderId="22" xfId="42" applyNumberFormat="1" applyFont="1" applyFill="1" applyBorder="1" applyAlignment="1">
      <alignment/>
    </xf>
    <xf numFmtId="0" fontId="0" fillId="36" borderId="26" xfId="0" applyFill="1" applyBorder="1" applyAlignment="1">
      <alignment/>
    </xf>
    <xf numFmtId="175" fontId="0" fillId="0" borderId="0" xfId="42" applyNumberFormat="1" applyFont="1" applyFill="1" applyBorder="1" applyAlignment="1">
      <alignment horizontal="center"/>
    </xf>
    <xf numFmtId="43" fontId="0" fillId="0" borderId="0" xfId="42" applyFont="1" applyFill="1" applyBorder="1" applyAlignment="1">
      <alignment/>
    </xf>
    <xf numFmtId="175" fontId="0" fillId="0" borderId="26" xfId="42" applyNumberFormat="1" applyFont="1" applyFill="1" applyBorder="1" applyAlignment="1">
      <alignment/>
    </xf>
    <xf numFmtId="187" fontId="0" fillId="0" borderId="29" xfId="42" applyNumberFormat="1" applyFont="1" applyBorder="1" applyAlignment="1">
      <alignment/>
    </xf>
    <xf numFmtId="187" fontId="0" fillId="36" borderId="29" xfId="42" applyNumberFormat="1" applyFont="1" applyFill="1" applyBorder="1" applyAlignment="1">
      <alignment/>
    </xf>
    <xf numFmtId="187" fontId="0" fillId="0" borderId="29" xfId="42" applyNumberFormat="1" applyFont="1" applyFill="1" applyBorder="1" applyAlignment="1">
      <alignment/>
    </xf>
    <xf numFmtId="187" fontId="0" fillId="0" borderId="19" xfId="42" applyNumberFormat="1" applyFont="1" applyBorder="1" applyAlignment="1">
      <alignment/>
    </xf>
    <xf numFmtId="187" fontId="0" fillId="0" borderId="0" xfId="42" applyNumberFormat="1" applyFont="1" applyBorder="1" applyAlignment="1">
      <alignment/>
    </xf>
    <xf numFmtId="187" fontId="0" fillId="0" borderId="0" xfId="42" applyNumberFormat="1" applyFont="1" applyFill="1" applyBorder="1" applyAlignment="1">
      <alignment/>
    </xf>
    <xf numFmtId="187" fontId="0" fillId="0" borderId="30" xfId="42" applyNumberFormat="1" applyFont="1" applyBorder="1" applyAlignment="1">
      <alignment/>
    </xf>
    <xf numFmtId="43" fontId="0" fillId="36" borderId="19" xfId="42" applyFont="1" applyFill="1" applyBorder="1" applyAlignment="1">
      <alignment/>
    </xf>
    <xf numFmtId="43" fontId="0" fillId="0" borderId="26" xfId="0" applyNumberFormat="1" applyBorder="1" applyAlignment="1">
      <alignment/>
    </xf>
    <xf numFmtId="43" fontId="7" fillId="0" borderId="0" xfId="42" applyFont="1" applyAlignment="1">
      <alignment horizontal="center"/>
    </xf>
    <xf numFmtId="43" fontId="6" fillId="0" borderId="0" xfId="42" applyFont="1" applyAlignment="1">
      <alignment horizontal="center"/>
    </xf>
    <xf numFmtId="43" fontId="6" fillId="0" borderId="0" xfId="42" applyFont="1" applyAlignment="1">
      <alignment/>
    </xf>
    <xf numFmtId="43" fontId="0" fillId="0" borderId="22" xfId="42" applyFont="1" applyFill="1" applyBorder="1" applyAlignment="1">
      <alignment/>
    </xf>
    <xf numFmtId="0" fontId="0" fillId="0" borderId="0" xfId="0" applyAlignment="1">
      <alignment/>
    </xf>
    <xf numFmtId="0" fontId="0" fillId="0" borderId="31" xfId="0" applyFill="1" applyBorder="1" applyAlignment="1">
      <alignment/>
    </xf>
    <xf numFmtId="43" fontId="0" fillId="36" borderId="0" xfId="42" applyFont="1" applyFill="1" applyAlignment="1">
      <alignment/>
    </xf>
    <xf numFmtId="43" fontId="5" fillId="0" borderId="0" xfId="42" applyFont="1" applyAlignment="1">
      <alignment/>
    </xf>
    <xf numFmtId="43" fontId="8" fillId="0" borderId="0" xfId="42" applyFont="1" applyAlignment="1">
      <alignment/>
    </xf>
    <xf numFmtId="43" fontId="9" fillId="0" borderId="0" xfId="42" applyFont="1" applyAlignment="1">
      <alignment/>
    </xf>
    <xf numFmtId="43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43" fontId="0" fillId="0" borderId="0" xfId="0" applyNumberFormat="1" applyAlignment="1">
      <alignment horizontal="right"/>
    </xf>
    <xf numFmtId="43" fontId="0" fillId="0" borderId="0" xfId="0" applyNumberFormat="1" applyBorder="1" applyAlignment="1">
      <alignment horizontal="right"/>
    </xf>
    <xf numFmtId="43" fontId="0" fillId="0" borderId="0" xfId="42" applyFont="1" applyAlignment="1">
      <alignment horizontal="right"/>
    </xf>
    <xf numFmtId="0" fontId="0" fillId="14" borderId="19" xfId="0" applyFill="1" applyBorder="1" applyAlignment="1">
      <alignment/>
    </xf>
    <xf numFmtId="175" fontId="0" fillId="14" borderId="19" xfId="0" applyNumberFormat="1" applyFill="1" applyBorder="1" applyAlignment="1">
      <alignment/>
    </xf>
    <xf numFmtId="180" fontId="0" fillId="14" borderId="0" xfId="42" applyNumberFormat="1" applyFont="1" applyFill="1" applyAlignment="1">
      <alignment/>
    </xf>
    <xf numFmtId="175" fontId="0" fillId="14" borderId="19" xfId="42" applyNumberFormat="1" applyFont="1" applyFill="1" applyBorder="1" applyAlignment="1">
      <alignment/>
    </xf>
    <xf numFmtId="43" fontId="0" fillId="14" borderId="19" xfId="42" applyFont="1" applyFill="1" applyBorder="1" applyAlignment="1">
      <alignment/>
    </xf>
    <xf numFmtId="175" fontId="0" fillId="14" borderId="26" xfId="42" applyNumberFormat="1" applyFont="1" applyFill="1" applyBorder="1" applyAlignment="1">
      <alignment/>
    </xf>
    <xf numFmtId="0" fontId="0" fillId="14" borderId="26" xfId="0" applyFill="1" applyBorder="1" applyAlignment="1">
      <alignment/>
    </xf>
    <xf numFmtId="0" fontId="0" fillId="14" borderId="27" xfId="0" applyFill="1" applyBorder="1" applyAlignment="1">
      <alignment/>
    </xf>
    <xf numFmtId="187" fontId="0" fillId="14" borderId="29" xfId="42" applyNumberFormat="1" applyFont="1" applyFill="1" applyBorder="1" applyAlignment="1">
      <alignment/>
    </xf>
    <xf numFmtId="0" fontId="0" fillId="14" borderId="0" xfId="0" applyFill="1" applyAlignment="1">
      <alignment/>
    </xf>
    <xf numFmtId="43" fontId="0" fillId="14" borderId="0" xfId="42" applyFont="1" applyFill="1" applyAlignment="1">
      <alignment/>
    </xf>
    <xf numFmtId="0" fontId="0" fillId="14" borderId="0" xfId="0" applyFill="1" applyAlignment="1">
      <alignment horizontal="right"/>
    </xf>
    <xf numFmtId="43" fontId="0" fillId="14" borderId="0" xfId="0" applyNumberFormat="1" applyFill="1" applyAlignment="1">
      <alignment/>
    </xf>
    <xf numFmtId="187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0" fontId="0" fillId="36" borderId="0" xfId="0" applyFill="1" applyAlignment="1">
      <alignment horizontal="right"/>
    </xf>
    <xf numFmtId="180" fontId="0" fillId="36" borderId="19" xfId="42" applyNumberFormat="1" applyFont="1" applyFill="1" applyBorder="1" applyAlignment="1">
      <alignment/>
    </xf>
    <xf numFmtId="0" fontId="6" fillId="36" borderId="0" xfId="0" applyFont="1" applyFill="1" applyAlignment="1">
      <alignment horizontal="right"/>
    </xf>
    <xf numFmtId="1" fontId="0" fillId="0" borderId="0" xfId="0" applyNumberFormat="1" applyAlignment="1">
      <alignment/>
    </xf>
    <xf numFmtId="44" fontId="0" fillId="0" borderId="0" xfId="44" applyFont="1" applyAlignment="1">
      <alignment/>
    </xf>
    <xf numFmtId="175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0" fillId="41" borderId="22" xfId="0" applyFill="1" applyBorder="1" applyAlignment="1">
      <alignment/>
    </xf>
    <xf numFmtId="0" fontId="0" fillId="41" borderId="19" xfId="0" applyFill="1" applyBorder="1" applyAlignment="1">
      <alignment/>
    </xf>
    <xf numFmtId="180" fontId="0" fillId="41" borderId="22" xfId="42" applyNumberFormat="1" applyFont="1" applyFill="1" applyBorder="1" applyAlignment="1">
      <alignment/>
    </xf>
    <xf numFmtId="43" fontId="0" fillId="41" borderId="19" xfId="42" applyFont="1" applyFill="1" applyBorder="1" applyAlignment="1">
      <alignment/>
    </xf>
    <xf numFmtId="175" fontId="0" fillId="41" borderId="22" xfId="42" applyNumberFormat="1" applyFont="1" applyFill="1" applyBorder="1" applyAlignment="1">
      <alignment/>
    </xf>
    <xf numFmtId="0" fontId="0" fillId="41" borderId="0" xfId="0" applyFill="1" applyAlignment="1">
      <alignment/>
    </xf>
    <xf numFmtId="0" fontId="0" fillId="41" borderId="31" xfId="0" applyFill="1" applyBorder="1" applyAlignment="1">
      <alignment/>
    </xf>
    <xf numFmtId="0" fontId="0" fillId="41" borderId="32" xfId="0" applyFill="1" applyBorder="1" applyAlignment="1">
      <alignment/>
    </xf>
    <xf numFmtId="187" fontId="0" fillId="41" borderId="30" xfId="42" applyNumberFormat="1" applyFont="1" applyFill="1" applyBorder="1" applyAlignment="1">
      <alignment/>
    </xf>
    <xf numFmtId="43" fontId="0" fillId="41" borderId="0" xfId="42" applyFont="1" applyFill="1" applyAlignment="1">
      <alignment/>
    </xf>
    <xf numFmtId="187" fontId="0" fillId="41" borderId="0" xfId="42" applyNumberFormat="1" applyFont="1" applyFill="1" applyAlignment="1">
      <alignment/>
    </xf>
    <xf numFmtId="0" fontId="6" fillId="41" borderId="0" xfId="0" applyFont="1" applyFill="1" applyAlignment="1">
      <alignment horizontal="right"/>
    </xf>
    <xf numFmtId="0" fontId="0" fillId="41" borderId="19" xfId="0" applyFill="1" applyBorder="1" applyAlignment="1">
      <alignment/>
    </xf>
    <xf numFmtId="180" fontId="0" fillId="41" borderId="19" xfId="42" applyNumberFormat="1" applyFont="1" applyFill="1" applyBorder="1" applyAlignment="1">
      <alignment/>
    </xf>
    <xf numFmtId="175" fontId="0" fillId="41" borderId="19" xfId="42" applyNumberFormat="1" applyFont="1" applyFill="1" applyBorder="1" applyAlignment="1">
      <alignment/>
    </xf>
    <xf numFmtId="0" fontId="0" fillId="41" borderId="26" xfId="0" applyFill="1" applyBorder="1" applyAlignment="1">
      <alignment/>
    </xf>
    <xf numFmtId="0" fontId="0" fillId="41" borderId="27" xfId="0" applyFill="1" applyBorder="1" applyAlignment="1">
      <alignment/>
    </xf>
    <xf numFmtId="180" fontId="0" fillId="41" borderId="0" xfId="42" applyNumberFormat="1" applyFont="1" applyFill="1" applyAlignment="1">
      <alignment/>
    </xf>
    <xf numFmtId="0" fontId="0" fillId="41" borderId="0" xfId="0" applyFill="1" applyAlignment="1">
      <alignment horizontal="right"/>
    </xf>
    <xf numFmtId="43" fontId="0" fillId="0" borderId="0" xfId="42" applyFont="1" applyFill="1" applyAlignment="1">
      <alignment/>
    </xf>
    <xf numFmtId="43" fontId="0" fillId="14" borderId="0" xfId="42" applyFont="1" applyFill="1" applyAlignment="1">
      <alignment/>
    </xf>
    <xf numFmtId="180" fontId="0" fillId="0" borderId="0" xfId="42" applyNumberFormat="1" applyFont="1" applyAlignment="1">
      <alignment/>
    </xf>
    <xf numFmtId="180" fontId="0" fillId="0" borderId="0" xfId="42" applyNumberFormat="1" applyFont="1" applyFill="1" applyAlignment="1">
      <alignment/>
    </xf>
    <xf numFmtId="180" fontId="6" fillId="0" borderId="0" xfId="42" applyNumberFormat="1" applyFont="1" applyAlignment="1">
      <alignment horizontal="center"/>
    </xf>
    <xf numFmtId="180" fontId="6" fillId="0" borderId="0" xfId="42" applyNumberFormat="1" applyFont="1" applyAlignment="1">
      <alignment/>
    </xf>
    <xf numFmtId="180" fontId="0" fillId="14" borderId="0" xfId="42" applyNumberFormat="1" applyFont="1" applyFill="1" applyAlignment="1">
      <alignment/>
    </xf>
    <xf numFmtId="43" fontId="0" fillId="0" borderId="0" xfId="42" applyFont="1" applyAlignment="1">
      <alignment/>
    </xf>
    <xf numFmtId="43" fontId="0" fillId="0" borderId="0" xfId="42" applyFont="1" applyFill="1" applyAlignment="1">
      <alignment/>
    </xf>
    <xf numFmtId="43" fontId="0" fillId="14" borderId="0" xfId="42" applyFont="1" applyFill="1" applyAlignment="1">
      <alignment/>
    </xf>
    <xf numFmtId="180" fontId="0" fillId="0" borderId="0" xfId="42" applyNumberFormat="1" applyFont="1" applyAlignment="1">
      <alignment/>
    </xf>
    <xf numFmtId="180" fontId="0" fillId="0" borderId="0" xfId="42" applyNumberFormat="1" applyFont="1" applyFill="1" applyAlignment="1">
      <alignment/>
    </xf>
    <xf numFmtId="180" fontId="0" fillId="14" borderId="0" xfId="42" applyNumberFormat="1" applyFont="1" applyFill="1" applyAlignment="1">
      <alignment/>
    </xf>
    <xf numFmtId="180" fontId="0" fillId="33" borderId="0" xfId="42" applyNumberFormat="1" applyFont="1" applyFill="1" applyAlignment="1">
      <alignment/>
    </xf>
    <xf numFmtId="0" fontId="0" fillId="42" borderId="0" xfId="0" applyFill="1" applyAlignment="1">
      <alignment/>
    </xf>
    <xf numFmtId="180" fontId="0" fillId="42" borderId="0" xfId="42" applyNumberFormat="1" applyFont="1" applyFill="1" applyAlignment="1">
      <alignment/>
    </xf>
    <xf numFmtId="43" fontId="0" fillId="42" borderId="0" xfId="42" applyFont="1" applyFill="1" applyAlignment="1">
      <alignment/>
    </xf>
    <xf numFmtId="43" fontId="8" fillId="36" borderId="0" xfId="42" applyFont="1" applyFill="1" applyAlignment="1">
      <alignment/>
    </xf>
    <xf numFmtId="180" fontId="0" fillId="36" borderId="0" xfId="42" applyNumberFormat="1" applyFont="1" applyFill="1" applyAlignment="1">
      <alignment/>
    </xf>
    <xf numFmtId="0" fontId="0" fillId="0" borderId="0" xfId="0" applyAlignment="1">
      <alignment horizontal="center"/>
    </xf>
    <xf numFmtId="0" fontId="45" fillId="34" borderId="0" xfId="0" applyFont="1" applyFill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175" fontId="0" fillId="0" borderId="23" xfId="42" applyNumberFormat="1" applyFont="1" applyFill="1" applyBorder="1" applyAlignment="1">
      <alignment horizontal="center"/>
    </xf>
    <xf numFmtId="175" fontId="0" fillId="0" borderId="24" xfId="42" applyNumberFormat="1" applyFont="1" applyFill="1" applyBorder="1" applyAlignment="1">
      <alignment horizontal="center"/>
    </xf>
    <xf numFmtId="175" fontId="0" fillId="0" borderId="25" xfId="42" applyNumberFormat="1" applyFont="1" applyFill="1" applyBorder="1" applyAlignment="1">
      <alignment horizontal="center"/>
    </xf>
    <xf numFmtId="187" fontId="0" fillId="0" borderId="23" xfId="42" applyNumberFormat="1" applyFont="1" applyBorder="1" applyAlignment="1">
      <alignment horizontal="center"/>
    </xf>
    <xf numFmtId="187" fontId="0" fillId="0" borderId="24" xfId="42" applyNumberFormat="1" applyFont="1" applyBorder="1" applyAlignment="1">
      <alignment horizontal="center"/>
    </xf>
    <xf numFmtId="187" fontId="0" fillId="0" borderId="25" xfId="42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3" fontId="0" fillId="0" borderId="23" xfId="42" applyFont="1" applyBorder="1" applyAlignment="1">
      <alignment horizontal="center"/>
    </xf>
    <xf numFmtId="43" fontId="0" fillId="0" borderId="24" xfId="42" applyFont="1" applyBorder="1" applyAlignment="1">
      <alignment horizontal="center"/>
    </xf>
    <xf numFmtId="43" fontId="0" fillId="0" borderId="25" xfId="42" applyFont="1" applyBorder="1" applyAlignment="1">
      <alignment horizontal="center"/>
    </xf>
    <xf numFmtId="43" fontId="0" fillId="0" borderId="0" xfId="42" applyFont="1" applyAlignment="1">
      <alignment/>
    </xf>
    <xf numFmtId="43" fontId="0" fillId="0" borderId="0" xfId="42" applyFont="1" applyFill="1" applyAlignment="1">
      <alignment/>
    </xf>
    <xf numFmtId="43" fontId="0" fillId="41" borderId="0" xfId="42" applyFont="1" applyFill="1" applyAlignment="1">
      <alignment/>
    </xf>
    <xf numFmtId="43" fontId="0" fillId="14" borderId="0" xfId="42" applyFont="1" applyFill="1" applyAlignment="1">
      <alignment/>
    </xf>
    <xf numFmtId="180" fontId="0" fillId="0" borderId="0" xfId="42" applyNumberFormat="1" applyFont="1" applyAlignment="1">
      <alignment/>
    </xf>
    <xf numFmtId="180" fontId="7" fillId="0" borderId="0" xfId="42" applyNumberFormat="1" applyFont="1" applyAlignment="1">
      <alignment horizontal="center"/>
    </xf>
    <xf numFmtId="180" fontId="0" fillId="0" borderId="0" xfId="42" applyNumberFormat="1" applyFont="1" applyFill="1" applyAlignment="1">
      <alignment/>
    </xf>
    <xf numFmtId="180" fontId="0" fillId="41" borderId="0" xfId="42" applyNumberFormat="1" applyFont="1" applyFill="1" applyAlignment="1">
      <alignment/>
    </xf>
    <xf numFmtId="180" fontId="0" fillId="0" borderId="0" xfId="42" applyNumberFormat="1" applyFont="1" applyBorder="1" applyAlignment="1">
      <alignment/>
    </xf>
    <xf numFmtId="180" fontId="0" fillId="14" borderId="0" xfId="42" applyNumberFormat="1" applyFont="1" applyFill="1" applyAlignment="1">
      <alignment/>
    </xf>
    <xf numFmtId="187" fontId="0" fillId="0" borderId="0" xfId="42" applyNumberFormat="1" applyFont="1" applyAlignment="1">
      <alignment/>
    </xf>
    <xf numFmtId="187" fontId="0" fillId="0" borderId="0" xfId="42" applyNumberFormat="1" applyFont="1" applyBorder="1" applyAlignment="1">
      <alignment/>
    </xf>
    <xf numFmtId="187" fontId="6" fillId="0" borderId="0" xfId="42" applyNumberFormat="1" applyFont="1" applyAlignment="1">
      <alignment horizontal="center"/>
    </xf>
    <xf numFmtId="187" fontId="6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87" fontId="0" fillId="41" borderId="0" xfId="42" applyNumberFormat="1" applyFont="1" applyFill="1" applyAlignment="1">
      <alignment/>
    </xf>
    <xf numFmtId="187" fontId="0" fillId="14" borderId="0" xfId="42" applyNumberFormat="1" applyFont="1" applyFill="1" applyAlignment="1">
      <alignment/>
    </xf>
    <xf numFmtId="0" fontId="0" fillId="0" borderId="19" xfId="0" applyFill="1" applyBorder="1" applyAlignment="1">
      <alignment wrapText="1"/>
    </xf>
    <xf numFmtId="0" fontId="0" fillId="0" borderId="2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0</xdr:row>
      <xdr:rowOff>0</xdr:rowOff>
    </xdr:from>
    <xdr:to>
      <xdr:col>12</xdr:col>
      <xdr:colOff>85725</xdr:colOff>
      <xdr:row>7</xdr:row>
      <xdr:rowOff>152400</xdr:rowOff>
    </xdr:to>
    <xdr:pic>
      <xdr:nvPicPr>
        <xdr:cNvPr id="1" name="Picture 3" descr="logo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0"/>
          <a:ext cx="23812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</xdr:row>
      <xdr:rowOff>28575</xdr:rowOff>
    </xdr:from>
    <xdr:to>
      <xdr:col>2</xdr:col>
      <xdr:colOff>38100</xdr:colOff>
      <xdr:row>2</xdr:row>
      <xdr:rowOff>76200</xdr:rowOff>
    </xdr:to>
    <xdr:sp>
      <xdr:nvSpPr>
        <xdr:cNvPr id="2" name="Freeform 4"/>
        <xdr:cNvSpPr>
          <a:spLocks/>
        </xdr:cNvSpPr>
      </xdr:nvSpPr>
      <xdr:spPr>
        <a:xfrm>
          <a:off x="19050" y="428625"/>
          <a:ext cx="2314575" cy="47625"/>
        </a:xfrm>
        <a:custGeom>
          <a:pathLst>
            <a:path h="47625" w="311">
              <a:moveTo>
                <a:pt x="0" y="0"/>
              </a:moveTo>
              <a:lnTo>
                <a:pt x="311" y="0"/>
              </a:lnTo>
            </a:path>
          </a:pathLst>
        </a:cu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2</xdr:col>
      <xdr:colOff>28575</xdr:colOff>
      <xdr:row>2</xdr:row>
      <xdr:rowOff>66675</xdr:rowOff>
    </xdr:to>
    <xdr:sp>
      <xdr:nvSpPr>
        <xdr:cNvPr id="3" name="Freeform 5"/>
        <xdr:cNvSpPr>
          <a:spLocks/>
        </xdr:cNvSpPr>
      </xdr:nvSpPr>
      <xdr:spPr>
        <a:xfrm>
          <a:off x="9525" y="419100"/>
          <a:ext cx="2314575" cy="47625"/>
        </a:xfrm>
        <a:custGeom>
          <a:pathLst>
            <a:path h="45719" w="310">
              <a:moveTo>
                <a:pt x="0" y="0"/>
              </a:moveTo>
              <a:lnTo>
                <a:pt x="310" y="0"/>
              </a:lnTo>
            </a:path>
          </a:pathLst>
        </a:custGeom>
        <a:noFill/>
        <a:ln w="9525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zoomScalePageLayoutView="0" workbookViewId="0" topLeftCell="A1">
      <pane xSplit="2" ySplit="17" topLeftCell="C12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38" sqref="B138"/>
    </sheetView>
  </sheetViews>
  <sheetFormatPr defaultColWidth="9.140625" defaultRowHeight="15"/>
  <cols>
    <col min="1" max="1" width="12.57421875" style="0" customWidth="1"/>
    <col min="2" max="2" width="18.28125" style="0" customWidth="1"/>
  </cols>
  <sheetData>
    <row r="1" spans="1:5" ht="15">
      <c r="A1" t="s">
        <v>32</v>
      </c>
      <c r="E1">
        <v>128</v>
      </c>
    </row>
    <row r="2" spans="1:5" ht="15">
      <c r="A2" t="s">
        <v>33</v>
      </c>
      <c r="E2">
        <v>50</v>
      </c>
    </row>
    <row r="3" spans="1:5" ht="15">
      <c r="A3" t="s">
        <v>34</v>
      </c>
      <c r="E3">
        <v>15</v>
      </c>
    </row>
    <row r="4" spans="1:5" ht="15">
      <c r="A4" t="s">
        <v>48</v>
      </c>
      <c r="E4">
        <v>30</v>
      </c>
    </row>
    <row r="5" spans="1:5" ht="15">
      <c r="A5" t="s">
        <v>49</v>
      </c>
      <c r="E5">
        <v>40</v>
      </c>
    </row>
    <row r="6" spans="1:5" ht="15">
      <c r="A6" t="s">
        <v>35</v>
      </c>
      <c r="E6">
        <v>10</v>
      </c>
    </row>
    <row r="7" spans="1:5" ht="15">
      <c r="A7" t="s">
        <v>44</v>
      </c>
      <c r="E7">
        <v>36</v>
      </c>
    </row>
    <row r="8" spans="1:5" ht="15">
      <c r="A8" t="s">
        <v>45</v>
      </c>
      <c r="E8">
        <v>42</v>
      </c>
    </row>
    <row r="9" spans="1:5" ht="15">
      <c r="A9" t="s">
        <v>41</v>
      </c>
      <c r="E9">
        <f>12.2</f>
        <v>12.2</v>
      </c>
    </row>
    <row r="10" spans="1:5" ht="15">
      <c r="A10" t="s">
        <v>59</v>
      </c>
      <c r="E10">
        <v>4</v>
      </c>
    </row>
    <row r="11" spans="1:5" ht="15">
      <c r="A11" t="s">
        <v>42</v>
      </c>
      <c r="E11">
        <f>19.5</f>
        <v>19.5</v>
      </c>
    </row>
    <row r="12" spans="1:5" ht="15">
      <c r="A12" t="s">
        <v>43</v>
      </c>
      <c r="E12">
        <v>21.9</v>
      </c>
    </row>
    <row r="14" spans="1:5" ht="15">
      <c r="A14" t="s">
        <v>53</v>
      </c>
      <c r="E14">
        <v>50</v>
      </c>
    </row>
    <row r="18" ht="15">
      <c r="A18" t="s">
        <v>0</v>
      </c>
    </row>
    <row r="20" spans="1:3" ht="15">
      <c r="A20" t="s">
        <v>19</v>
      </c>
      <c r="B20" t="s">
        <v>21</v>
      </c>
      <c r="C20" t="s">
        <v>22</v>
      </c>
    </row>
    <row r="21" spans="2:5" ht="15">
      <c r="B21" t="s">
        <v>1</v>
      </c>
      <c r="D21" t="s">
        <v>2</v>
      </c>
      <c r="E21" t="s">
        <v>3</v>
      </c>
    </row>
    <row r="22" spans="2:6" ht="15">
      <c r="B22" t="s">
        <v>4</v>
      </c>
      <c r="D22">
        <f>deadroof</f>
        <v>15</v>
      </c>
      <c r="E22">
        <f>RoofEast/2</f>
        <v>18</v>
      </c>
      <c r="F22">
        <f>E22*D22</f>
        <v>270</v>
      </c>
    </row>
    <row r="23" spans="2:6" ht="15">
      <c r="B23" t="s">
        <v>5</v>
      </c>
      <c r="D23">
        <f>snow</f>
        <v>50</v>
      </c>
      <c r="E23">
        <f>36/2</f>
        <v>18</v>
      </c>
      <c r="F23">
        <f>E23*D23</f>
        <v>900</v>
      </c>
    </row>
    <row r="24" ht="15">
      <c r="G24">
        <f>SUM(F22:F23)</f>
        <v>1170</v>
      </c>
    </row>
    <row r="26" spans="1:3" ht="15">
      <c r="A26" t="s">
        <v>19</v>
      </c>
      <c r="B26" t="s">
        <v>20</v>
      </c>
      <c r="C26" t="s">
        <v>26</v>
      </c>
    </row>
    <row r="27" spans="2:6" ht="15">
      <c r="B27" t="s">
        <v>12</v>
      </c>
      <c r="F27">
        <f>G24</f>
        <v>1170</v>
      </c>
    </row>
    <row r="28" spans="2:6" ht="15">
      <c r="B28" t="s">
        <v>6</v>
      </c>
      <c r="F28">
        <f>Wall</f>
        <v>128</v>
      </c>
    </row>
    <row r="29" spans="1:7" ht="15">
      <c r="A29" t="s">
        <v>7</v>
      </c>
      <c r="G29">
        <f>SUM(F27:F28)</f>
        <v>1298</v>
      </c>
    </row>
    <row r="32" spans="1:3" ht="15">
      <c r="A32" t="s">
        <v>19</v>
      </c>
      <c r="B32" t="s">
        <v>24</v>
      </c>
      <c r="C32" t="s">
        <v>23</v>
      </c>
    </row>
    <row r="33" spans="2:3" ht="15">
      <c r="B33" s="1" t="s">
        <v>8</v>
      </c>
      <c r="C33" t="s">
        <v>17</v>
      </c>
    </row>
    <row r="34" spans="2:6" ht="15">
      <c r="B34" t="s">
        <v>4</v>
      </c>
      <c r="D34">
        <f>deadroof</f>
        <v>15</v>
      </c>
      <c r="E34">
        <f>RoofWest/2</f>
        <v>21</v>
      </c>
      <c r="F34">
        <f>E34*D34</f>
        <v>315</v>
      </c>
    </row>
    <row r="35" spans="2:6" ht="15">
      <c r="B35" t="s">
        <v>5</v>
      </c>
      <c r="D35">
        <f>snow</f>
        <v>50</v>
      </c>
      <c r="E35">
        <f>E34</f>
        <v>21</v>
      </c>
      <c r="F35">
        <f>E35*D35</f>
        <v>1050</v>
      </c>
    </row>
    <row r="36" ht="15">
      <c r="G36">
        <f>SUM(F34:F35)</f>
        <v>1365</v>
      </c>
    </row>
    <row r="38" spans="1:3" ht="15">
      <c r="A38" t="s">
        <v>19</v>
      </c>
      <c r="B38" t="s">
        <v>14</v>
      </c>
      <c r="C38" t="s">
        <v>25</v>
      </c>
    </row>
    <row r="40" spans="2:6" ht="15">
      <c r="B40" t="s">
        <v>8</v>
      </c>
      <c r="F40">
        <f>G36</f>
        <v>1365</v>
      </c>
    </row>
    <row r="41" spans="2:6" ht="15">
      <c r="B41" t="s">
        <v>11</v>
      </c>
      <c r="F41">
        <f>Wall</f>
        <v>128</v>
      </c>
    </row>
    <row r="42" spans="2:8" ht="15">
      <c r="B42" t="s">
        <v>9</v>
      </c>
      <c r="C42" t="s">
        <v>10</v>
      </c>
      <c r="D42">
        <f>live2ndfloor</f>
        <v>30</v>
      </c>
      <c r="E42">
        <f>JoistSouth/2</f>
        <v>6.1</v>
      </c>
      <c r="F42">
        <f>E42*D42</f>
        <v>183</v>
      </c>
      <c r="H42" t="s">
        <v>15</v>
      </c>
    </row>
    <row r="43" spans="3:6" ht="15">
      <c r="C43" t="s">
        <v>4</v>
      </c>
      <c r="D43">
        <f>deadfloor</f>
        <v>10</v>
      </c>
      <c r="E43">
        <f>E42</f>
        <v>6.1</v>
      </c>
      <c r="F43">
        <f>E43*D43</f>
        <v>61</v>
      </c>
    </row>
    <row r="44" ht="15">
      <c r="G44">
        <f>SUM(F40:F43)</f>
        <v>1737</v>
      </c>
    </row>
    <row r="46" spans="1:3" ht="15">
      <c r="A46" t="s">
        <v>19</v>
      </c>
      <c r="B46" t="s">
        <v>28</v>
      </c>
      <c r="C46" t="s">
        <v>27</v>
      </c>
    </row>
    <row r="47" spans="2:6" ht="15">
      <c r="B47" t="s">
        <v>12</v>
      </c>
      <c r="F47">
        <f>G44</f>
        <v>1737</v>
      </c>
    </row>
    <row r="48" spans="2:6" ht="15">
      <c r="B48" t="s">
        <v>13</v>
      </c>
      <c r="C48" t="s">
        <v>10</v>
      </c>
      <c r="D48">
        <f>live2ndfloor</f>
        <v>30</v>
      </c>
      <c r="E48">
        <f>JoistSouth/2</f>
        <v>6.1</v>
      </c>
      <c r="F48">
        <f>E48*D48</f>
        <v>183</v>
      </c>
    </row>
    <row r="49" spans="2:6" ht="15">
      <c r="B49" t="s">
        <v>14</v>
      </c>
      <c r="C49" t="s">
        <v>4</v>
      </c>
      <c r="D49">
        <f>deadfloor</f>
        <v>10</v>
      </c>
      <c r="E49">
        <f>E48</f>
        <v>6.1</v>
      </c>
      <c r="F49">
        <f>E49*D49</f>
        <v>61</v>
      </c>
    </row>
    <row r="50" spans="2:6" ht="15">
      <c r="B50" t="s">
        <v>13</v>
      </c>
      <c r="F50">
        <f>Wall</f>
        <v>128</v>
      </c>
    </row>
    <row r="51" ht="15">
      <c r="G51">
        <f>SUM(F47:F50)</f>
        <v>2109</v>
      </c>
    </row>
    <row r="54" spans="1:2" ht="15">
      <c r="A54" t="s">
        <v>29</v>
      </c>
      <c r="B54" t="s">
        <v>24</v>
      </c>
    </row>
    <row r="55" spans="2:6" ht="15">
      <c r="B55" t="s">
        <v>30</v>
      </c>
      <c r="F55">
        <f>Wall</f>
        <v>128</v>
      </c>
    </row>
    <row r="56" ht="15">
      <c r="G56">
        <f>F55</f>
        <v>128</v>
      </c>
    </row>
    <row r="58" spans="1:3" ht="15">
      <c r="A58" t="s">
        <v>29</v>
      </c>
      <c r="B58" t="s">
        <v>14</v>
      </c>
      <c r="C58" t="s">
        <v>25</v>
      </c>
    </row>
    <row r="60" spans="2:6" ht="15">
      <c r="B60" t="s">
        <v>31</v>
      </c>
      <c r="F60">
        <f>G56</f>
        <v>128</v>
      </c>
    </row>
    <row r="61" spans="2:6" ht="15">
      <c r="B61" t="s">
        <v>11</v>
      </c>
      <c r="F61">
        <f>F60</f>
        <v>128</v>
      </c>
    </row>
    <row r="62" spans="2:6" ht="15">
      <c r="B62" t="s">
        <v>9</v>
      </c>
      <c r="C62" t="s">
        <v>10</v>
      </c>
      <c r="D62">
        <f>live2ndfloor</f>
        <v>30</v>
      </c>
      <c r="E62">
        <v>0</v>
      </c>
      <c r="F62">
        <f>E62*D62</f>
        <v>0</v>
      </c>
    </row>
    <row r="63" spans="3:6" ht="15">
      <c r="C63" t="s">
        <v>4</v>
      </c>
      <c r="D63">
        <f>deadfloor</f>
        <v>10</v>
      </c>
      <c r="E63">
        <v>0</v>
      </c>
      <c r="F63">
        <f>E63*D63</f>
        <v>0</v>
      </c>
    </row>
    <row r="64" ht="15">
      <c r="G64">
        <f>SUM(F60:F63)</f>
        <v>256</v>
      </c>
    </row>
    <row r="66" spans="1:3" ht="15">
      <c r="A66" t="str">
        <f>A58</f>
        <v>West Wall: </v>
      </c>
      <c r="B66" t="s">
        <v>28</v>
      </c>
      <c r="C66" t="s">
        <v>36</v>
      </c>
    </row>
    <row r="67" spans="2:6" ht="15">
      <c r="B67" t="s">
        <v>12</v>
      </c>
      <c r="F67">
        <f>G64</f>
        <v>256</v>
      </c>
    </row>
    <row r="68" spans="2:6" ht="15">
      <c r="B68" t="s">
        <v>13</v>
      </c>
      <c r="C68" t="s">
        <v>10</v>
      </c>
      <c r="D68">
        <f>live2ndfloor</f>
        <v>30</v>
      </c>
      <c r="E68">
        <f>E62</f>
        <v>0</v>
      </c>
      <c r="F68">
        <f>E68*D68</f>
        <v>0</v>
      </c>
    </row>
    <row r="69" spans="2:6" ht="15">
      <c r="B69" t="s">
        <v>14</v>
      </c>
      <c r="C69" t="s">
        <v>4</v>
      </c>
      <c r="D69">
        <f>deadfloor</f>
        <v>10</v>
      </c>
      <c r="E69">
        <f>E68</f>
        <v>0</v>
      </c>
      <c r="F69">
        <f>E69*D69</f>
        <v>0</v>
      </c>
    </row>
    <row r="70" spans="2:6" ht="15">
      <c r="B70" t="s">
        <v>13</v>
      </c>
      <c r="F70">
        <v>128</v>
      </c>
    </row>
    <row r="71" ht="15">
      <c r="G71">
        <f>SUM(F67:F70)</f>
        <v>384</v>
      </c>
    </row>
    <row r="73" spans="1:3" ht="15">
      <c r="A73" t="s">
        <v>16</v>
      </c>
      <c r="B73" t="s">
        <v>14</v>
      </c>
      <c r="C73" t="s">
        <v>37</v>
      </c>
    </row>
    <row r="74" spans="2:6" ht="15">
      <c r="B74" t="s">
        <v>4</v>
      </c>
      <c r="D74">
        <f>deadroof</f>
        <v>15</v>
      </c>
      <c r="E74">
        <f>RoofWest/2</f>
        <v>21</v>
      </c>
      <c r="F74">
        <f>E74*D74</f>
        <v>315</v>
      </c>
    </row>
    <row r="75" spans="2:6" ht="15">
      <c r="B75" t="s">
        <v>5</v>
      </c>
      <c r="D75">
        <f>snow</f>
        <v>50</v>
      </c>
      <c r="E75">
        <f>E74</f>
        <v>21</v>
      </c>
      <c r="F75">
        <f>E75*D75</f>
        <v>1050</v>
      </c>
    </row>
    <row r="76" ht="15">
      <c r="G76">
        <f>SUM(F74:F75)</f>
        <v>1365</v>
      </c>
    </row>
    <row r="80" spans="1:3" ht="15">
      <c r="A80" t="str">
        <f>A73</f>
        <v>North Wall: </v>
      </c>
      <c r="B80" t="s">
        <v>28</v>
      </c>
      <c r="C80" t="s">
        <v>38</v>
      </c>
    </row>
    <row r="81" spans="2:6" ht="15">
      <c r="B81" t="s">
        <v>12</v>
      </c>
      <c r="F81">
        <f>G76</f>
        <v>1365</v>
      </c>
    </row>
    <row r="82" spans="2:6" ht="15">
      <c r="B82" t="s">
        <v>14</v>
      </c>
      <c r="C82" t="s">
        <v>10</v>
      </c>
      <c r="D82">
        <f>live2ndfloor</f>
        <v>30</v>
      </c>
      <c r="E82">
        <f>JoistNorth/2</f>
        <v>9.75</v>
      </c>
      <c r="F82">
        <f>E82*D82</f>
        <v>292.5</v>
      </c>
    </row>
    <row r="83" spans="2:6" ht="15">
      <c r="B83" t="s">
        <v>14</v>
      </c>
      <c r="C83" t="s">
        <v>4</v>
      </c>
      <c r="D83">
        <f>deadfloor</f>
        <v>10</v>
      </c>
      <c r="E83">
        <f>E82</f>
        <v>9.75</v>
      </c>
      <c r="F83">
        <f>E83*D83</f>
        <v>97.5</v>
      </c>
    </row>
    <row r="84" spans="2:6" ht="15">
      <c r="B84" t="s">
        <v>13</v>
      </c>
      <c r="F84">
        <f>Wall</f>
        <v>128</v>
      </c>
    </row>
    <row r="85" ht="15">
      <c r="G85">
        <f>SUM(F81:F84)</f>
        <v>1883</v>
      </c>
    </row>
    <row r="87" spans="1:3" ht="15">
      <c r="A87" t="s">
        <v>16</v>
      </c>
      <c r="B87" t="s">
        <v>14</v>
      </c>
      <c r="C87" t="s">
        <v>39</v>
      </c>
    </row>
    <row r="88" spans="2:6" ht="15">
      <c r="B88" t="s">
        <v>4</v>
      </c>
      <c r="D88">
        <f>deadroof</f>
        <v>15</v>
      </c>
      <c r="E88">
        <f>RoofEast/2</f>
        <v>18</v>
      </c>
      <c r="F88">
        <f>E88*D88</f>
        <v>270</v>
      </c>
    </row>
    <row r="89" spans="2:6" ht="15">
      <c r="B89" t="s">
        <v>5</v>
      </c>
      <c r="D89">
        <f>snow</f>
        <v>50</v>
      </c>
      <c r="E89">
        <f>E88</f>
        <v>18</v>
      </c>
      <c r="F89">
        <f>E89*D89</f>
        <v>900</v>
      </c>
    </row>
    <row r="90" ht="15">
      <c r="G90">
        <f>SUM(F88:F89)</f>
        <v>1170</v>
      </c>
    </row>
    <row r="94" spans="1:3" ht="15">
      <c r="A94" t="str">
        <f>A87</f>
        <v>North Wall: </v>
      </c>
      <c r="B94" t="s">
        <v>28</v>
      </c>
      <c r="C94" t="s">
        <v>26</v>
      </c>
    </row>
    <row r="95" spans="2:6" ht="15">
      <c r="B95" t="s">
        <v>12</v>
      </c>
      <c r="F95">
        <f>G90</f>
        <v>1170</v>
      </c>
    </row>
    <row r="96" spans="2:6" ht="15">
      <c r="B96" t="s">
        <v>14</v>
      </c>
      <c r="C96" t="s">
        <v>10</v>
      </c>
      <c r="D96">
        <f>live2ndfloor</f>
        <v>30</v>
      </c>
      <c r="E96">
        <v>0</v>
      </c>
      <c r="F96">
        <f>E96*D96</f>
        <v>0</v>
      </c>
    </row>
    <row r="97" spans="2:6" ht="15">
      <c r="B97" t="s">
        <v>14</v>
      </c>
      <c r="C97" t="s">
        <v>4</v>
      </c>
      <c r="D97">
        <f>deadfloor</f>
        <v>10</v>
      </c>
      <c r="E97">
        <v>0</v>
      </c>
      <c r="F97">
        <f>E97*D97</f>
        <v>0</v>
      </c>
    </row>
    <row r="98" spans="2:6" ht="15">
      <c r="B98" t="s">
        <v>13</v>
      </c>
      <c r="F98">
        <f>Wall</f>
        <v>128</v>
      </c>
    </row>
    <row r="99" ht="15">
      <c r="G99">
        <f>SUM(F95:F98)</f>
        <v>1298</v>
      </c>
    </row>
    <row r="101" spans="1:3" ht="15">
      <c r="A101" t="s">
        <v>18</v>
      </c>
      <c r="B101" t="s">
        <v>14</v>
      </c>
      <c r="C101" t="s">
        <v>39</v>
      </c>
    </row>
    <row r="102" spans="2:6" ht="15">
      <c r="B102" t="s">
        <v>40</v>
      </c>
      <c r="F102">
        <f>Wall</f>
        <v>128</v>
      </c>
    </row>
    <row r="103" ht="15">
      <c r="G103">
        <f>F102</f>
        <v>128</v>
      </c>
    </row>
    <row r="105" spans="1:3" ht="15">
      <c r="A105" t="str">
        <f>A101</f>
        <v>West Wall</v>
      </c>
      <c r="B105" t="str">
        <f>B94</f>
        <v>First Floor </v>
      </c>
      <c r="C105" t="s">
        <v>26</v>
      </c>
    </row>
    <row r="106" ht="15">
      <c r="B106" t="str">
        <f>B95</f>
        <v>Above Second Floor</v>
      </c>
    </row>
    <row r="107" spans="2:6" ht="15">
      <c r="B107" t="s">
        <v>14</v>
      </c>
      <c r="C107" t="s">
        <v>10</v>
      </c>
      <c r="D107">
        <f>livefloor</f>
        <v>30</v>
      </c>
      <c r="E107">
        <f>JoistEast/2</f>
        <v>10.95</v>
      </c>
      <c r="F107">
        <f>E107*D107</f>
        <v>328.5</v>
      </c>
    </row>
    <row r="108" spans="2:6" ht="15">
      <c r="B108" t="s">
        <v>14</v>
      </c>
      <c r="C108" t="s">
        <v>4</v>
      </c>
      <c r="D108">
        <f>deadfloor</f>
        <v>10</v>
      </c>
      <c r="E108">
        <f>E107</f>
        <v>10.95</v>
      </c>
      <c r="F108">
        <f>E108*D108</f>
        <v>109.5</v>
      </c>
    </row>
    <row r="109" spans="2:6" ht="15">
      <c r="B109" t="s">
        <v>13</v>
      </c>
      <c r="F109">
        <f>Wall</f>
        <v>128</v>
      </c>
    </row>
    <row r="110" ht="15">
      <c r="G110">
        <f>SUM(F106:F109)</f>
        <v>566</v>
      </c>
    </row>
    <row r="114" ht="15">
      <c r="A114" t="s">
        <v>46</v>
      </c>
    </row>
    <row r="116" ht="15">
      <c r="A116" t="s">
        <v>47</v>
      </c>
    </row>
    <row r="118" spans="2:6" ht="15">
      <c r="B118" t="s">
        <v>56</v>
      </c>
      <c r="C118" t="s">
        <v>10</v>
      </c>
      <c r="D118">
        <v>30</v>
      </c>
      <c r="E118">
        <f>JoistEast/2</f>
        <v>10.95</v>
      </c>
      <c r="F118">
        <f>D118*E118</f>
        <v>328.5</v>
      </c>
    </row>
    <row r="119" spans="3:6" ht="15">
      <c r="C119" t="s">
        <v>4</v>
      </c>
      <c r="D119">
        <v>10</v>
      </c>
      <c r="E119">
        <f>JoistEast/2</f>
        <v>10.95</v>
      </c>
      <c r="F119">
        <f>D119*E119</f>
        <v>109.5</v>
      </c>
    </row>
    <row r="120" spans="3:6" ht="15">
      <c r="C120" t="s">
        <v>52</v>
      </c>
      <c r="D120">
        <v>2</v>
      </c>
      <c r="E120">
        <f>IntWall</f>
        <v>50</v>
      </c>
      <c r="F120">
        <f>D120*E120</f>
        <v>100</v>
      </c>
    </row>
    <row r="121" ht="15">
      <c r="G121">
        <f>SUM(F118:F120)</f>
        <v>538</v>
      </c>
    </row>
    <row r="122" spans="2:5" ht="15">
      <c r="B122" t="s">
        <v>50</v>
      </c>
      <c r="C122">
        <v>11.75</v>
      </c>
      <c r="E122" t="s">
        <v>54</v>
      </c>
    </row>
    <row r="123" spans="2:5" ht="15">
      <c r="B123" t="s">
        <v>51</v>
      </c>
      <c r="C123">
        <v>14.2</v>
      </c>
      <c r="E123" s="1" t="s">
        <v>55</v>
      </c>
    </row>
    <row r="125" spans="2:6" ht="15">
      <c r="B125" t="s">
        <v>58</v>
      </c>
      <c r="C125" t="s">
        <v>10</v>
      </c>
      <c r="D125">
        <f>live2ndfloor</f>
        <v>30</v>
      </c>
      <c r="E125">
        <f>JoistSouth/2</f>
        <v>6.1</v>
      </c>
      <c r="F125">
        <f>D125*E125</f>
        <v>183</v>
      </c>
    </row>
    <row r="126" spans="2:6" ht="15">
      <c r="B126" t="s">
        <v>57</v>
      </c>
      <c r="C126" t="s">
        <v>4</v>
      </c>
      <c r="D126">
        <f>deadfloor</f>
        <v>10</v>
      </c>
      <c r="E126">
        <f>E125</f>
        <v>6.1</v>
      </c>
      <c r="F126">
        <f>D126*E126</f>
        <v>61</v>
      </c>
    </row>
    <row r="127" spans="2:6" ht="15">
      <c r="B127" t="s">
        <v>60</v>
      </c>
      <c r="C127" t="s">
        <v>10</v>
      </c>
      <c r="D127">
        <f>live2ndfloor</f>
        <v>30</v>
      </c>
      <c r="E127">
        <f>E10/2</f>
        <v>2</v>
      </c>
      <c r="F127">
        <f>D127*E127</f>
        <v>60</v>
      </c>
    </row>
    <row r="128" spans="3:6" ht="15">
      <c r="C128" t="s">
        <v>4</v>
      </c>
      <c r="D128">
        <f>deadfloor</f>
        <v>10</v>
      </c>
      <c r="E128">
        <f>E127</f>
        <v>2</v>
      </c>
      <c r="F128">
        <f>D128*E128</f>
        <v>20</v>
      </c>
    </row>
    <row r="129" ht="15">
      <c r="G129">
        <f>SUM(F125:F128)</f>
        <v>324</v>
      </c>
    </row>
    <row r="131" spans="2:6" ht="15">
      <c r="B131" t="s">
        <v>58</v>
      </c>
      <c r="C131" t="s">
        <v>10</v>
      </c>
      <c r="D131">
        <f>live2ndfloor</f>
        <v>30</v>
      </c>
      <c r="E131">
        <f>JoistNorth/2</f>
        <v>9.75</v>
      </c>
      <c r="F131">
        <f>D131*E131</f>
        <v>292.5</v>
      </c>
    </row>
    <row r="132" spans="2:6" ht="15">
      <c r="B132" t="s">
        <v>57</v>
      </c>
      <c r="C132" t="s">
        <v>4</v>
      </c>
      <c r="D132">
        <f>deadfloor</f>
        <v>10</v>
      </c>
      <c r="E132">
        <f>E131</f>
        <v>9.75</v>
      </c>
      <c r="F132">
        <f>D132*E132</f>
        <v>97.5</v>
      </c>
    </row>
    <row r="133" spans="2:6" ht="15">
      <c r="B133" t="s">
        <v>60</v>
      </c>
      <c r="C133" t="s">
        <v>10</v>
      </c>
      <c r="D133">
        <f>live2ndfloor</f>
        <v>30</v>
      </c>
      <c r="E133">
        <f>E10/2</f>
        <v>2</v>
      </c>
      <c r="F133">
        <f>D133*E133</f>
        <v>60</v>
      </c>
    </row>
    <row r="134" spans="3:6" ht="15">
      <c r="C134" t="s">
        <v>4</v>
      </c>
      <c r="D134">
        <f>deadfloor</f>
        <v>10</v>
      </c>
      <c r="E134">
        <f>E133</f>
        <v>2</v>
      </c>
      <c r="F134">
        <f>D134*E134</f>
        <v>20</v>
      </c>
    </row>
    <row r="135" ht="15">
      <c r="G135">
        <f>SUM(F131:F134)</f>
        <v>470</v>
      </c>
    </row>
    <row r="136" spans="4:5" ht="15">
      <c r="D136" t="s">
        <v>63</v>
      </c>
      <c r="E136" t="s">
        <v>64</v>
      </c>
    </row>
    <row r="137" spans="1:2" ht="15">
      <c r="A137" t="s">
        <v>61</v>
      </c>
      <c r="B137" t="s">
        <v>67</v>
      </c>
    </row>
    <row r="138" spans="2:6" ht="15">
      <c r="B138" t="s">
        <v>62</v>
      </c>
      <c r="D138">
        <f>JoistSouth/2</f>
        <v>6.1</v>
      </c>
      <c r="E138">
        <f>G121</f>
        <v>538</v>
      </c>
      <c r="F138">
        <f>D138*E138</f>
        <v>3281.7999999999997</v>
      </c>
    </row>
    <row r="139" spans="2:6" ht="15">
      <c r="B139" t="s">
        <v>65</v>
      </c>
      <c r="D139">
        <f>E10/2</f>
        <v>2</v>
      </c>
      <c r="E139">
        <f>G121</f>
        <v>538</v>
      </c>
      <c r="F139">
        <f>D139*E139</f>
        <v>1076</v>
      </c>
    </row>
    <row r="140" spans="2:6" ht="15">
      <c r="B140" t="s">
        <v>66</v>
      </c>
      <c r="D140">
        <f>E10/2</f>
        <v>2</v>
      </c>
      <c r="E140">
        <f>G135</f>
        <v>470</v>
      </c>
      <c r="F140">
        <f>D140*E140</f>
        <v>940</v>
      </c>
    </row>
    <row r="141" ht="15">
      <c r="G141">
        <f>SUM(F138:F140)</f>
        <v>5297.799999999999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F17" sqref="F17"/>
    </sheetView>
  </sheetViews>
  <sheetFormatPr defaultColWidth="9.140625" defaultRowHeight="15"/>
  <cols>
    <col min="2" max="2" width="42.140625" style="0" customWidth="1"/>
    <col min="3" max="3" width="13.00390625" style="0" customWidth="1"/>
    <col min="6" max="6" width="10.57421875" style="203" bestFit="1" customWidth="1"/>
  </cols>
  <sheetData>
    <row r="1" ht="15">
      <c r="E1" t="s">
        <v>204</v>
      </c>
    </row>
    <row r="2" ht="15">
      <c r="A2" t="s">
        <v>468</v>
      </c>
    </row>
    <row r="3" spans="2:3" ht="15">
      <c r="B3" t="s">
        <v>488</v>
      </c>
      <c r="C3">
        <v>1200</v>
      </c>
    </row>
    <row r="4" spans="2:3" ht="15">
      <c r="B4" t="s">
        <v>491</v>
      </c>
      <c r="C4">
        <v>500</v>
      </c>
    </row>
    <row r="5" spans="2:3" ht="15">
      <c r="B5" t="s">
        <v>489</v>
      </c>
      <c r="C5">
        <v>300</v>
      </c>
    </row>
    <row r="6" spans="2:6" ht="15">
      <c r="B6" t="s">
        <v>490</v>
      </c>
      <c r="F6" s="203">
        <f>SUM(C3:C6)</f>
        <v>2000</v>
      </c>
    </row>
    <row r="7" spans="1:6" ht="15">
      <c r="A7" t="s">
        <v>469</v>
      </c>
      <c r="F7" s="203">
        <v>23000</v>
      </c>
    </row>
    <row r="8" spans="1:6" ht="15">
      <c r="A8" t="s">
        <v>470</v>
      </c>
      <c r="F8" s="203">
        <v>27000</v>
      </c>
    </row>
    <row r="9" spans="1:6" ht="15">
      <c r="A9" t="s">
        <v>481</v>
      </c>
      <c r="F9" s="203">
        <f>'Wood Summary'!AJ43*1.1</f>
        <v>22499.921919362067</v>
      </c>
    </row>
    <row r="10" spans="2:3" ht="15">
      <c r="B10" t="s">
        <v>473</v>
      </c>
      <c r="C10">
        <v>20</v>
      </c>
    </row>
    <row r="11" spans="2:3" ht="15">
      <c r="B11" t="s">
        <v>471</v>
      </c>
      <c r="C11">
        <v>90</v>
      </c>
    </row>
    <row r="12" spans="2:3" ht="15">
      <c r="B12" t="s">
        <v>472</v>
      </c>
      <c r="C12">
        <v>40</v>
      </c>
    </row>
    <row r="13" spans="1:6" ht="15">
      <c r="A13" t="s">
        <v>480</v>
      </c>
      <c r="C13">
        <f>SUM(C10:C12)</f>
        <v>150</v>
      </c>
      <c r="D13" s="202">
        <f>C13/100</f>
        <v>1.5</v>
      </c>
      <c r="E13" s="201">
        <f>'Wood Summary'!C35</f>
        <v>3586.658351271065</v>
      </c>
      <c r="F13" s="203">
        <f>E13*D13</f>
        <v>5379.987526906598</v>
      </c>
    </row>
    <row r="14" spans="1:6" ht="15">
      <c r="A14" t="s">
        <v>475</v>
      </c>
      <c r="F14" s="203">
        <f>'Wood Summary'!AI57</f>
        <v>22229.969999999998</v>
      </c>
    </row>
    <row r="15" ht="15">
      <c r="A15" t="s">
        <v>474</v>
      </c>
    </row>
    <row r="16" spans="1:6" ht="15">
      <c r="A16" t="s">
        <v>476</v>
      </c>
      <c r="F16" s="203">
        <v>7000</v>
      </c>
    </row>
    <row r="17" ht="15">
      <c r="A17" t="s">
        <v>477</v>
      </c>
    </row>
    <row r="18" ht="15">
      <c r="A18" t="s">
        <v>478</v>
      </c>
    </row>
    <row r="19" ht="15">
      <c r="A19" t="s">
        <v>479</v>
      </c>
    </row>
    <row r="21" ht="15">
      <c r="F21" s="203">
        <f>SUM(F2:F19)</f>
        <v>109109.87944626866</v>
      </c>
    </row>
    <row r="30" spans="1:3" ht="15">
      <c r="A30" t="s">
        <v>492</v>
      </c>
      <c r="B30" t="s">
        <v>493</v>
      </c>
      <c r="C30" t="s">
        <v>494</v>
      </c>
    </row>
    <row r="31" spans="2:3" ht="15">
      <c r="B31" t="s">
        <v>526</v>
      </c>
      <c r="C31" t="s">
        <v>495</v>
      </c>
    </row>
    <row r="32" spans="2:3" ht="15">
      <c r="B32" t="s">
        <v>496</v>
      </c>
      <c r="C32" t="s">
        <v>497</v>
      </c>
    </row>
    <row r="33" spans="2:3" ht="15">
      <c r="B33" t="s">
        <v>507</v>
      </c>
      <c r="C33" t="s">
        <v>508</v>
      </c>
    </row>
    <row r="34" ht="15">
      <c r="B34" t="s">
        <v>509</v>
      </c>
    </row>
    <row r="35" ht="15">
      <c r="B35" t="s">
        <v>510</v>
      </c>
    </row>
    <row r="37" spans="2:3" ht="15">
      <c r="B37" t="s">
        <v>512</v>
      </c>
      <c r="C37" t="s">
        <v>513</v>
      </c>
    </row>
    <row r="38" spans="2:3" ht="15">
      <c r="B38" t="s">
        <v>514</v>
      </c>
      <c r="C38" t="s">
        <v>515</v>
      </c>
    </row>
    <row r="39" spans="2:3" ht="15">
      <c r="B39" t="s">
        <v>516</v>
      </c>
      <c r="C39" t="s">
        <v>520</v>
      </c>
    </row>
    <row r="41" spans="2:3" ht="15">
      <c r="B41" t="s">
        <v>518</v>
      </c>
      <c r="C41" t="s">
        <v>519</v>
      </c>
    </row>
    <row r="42" spans="2:4" ht="15">
      <c r="B42" t="s">
        <v>511</v>
      </c>
      <c r="C42" t="s">
        <v>517</v>
      </c>
      <c r="D42" t="s">
        <v>523</v>
      </c>
    </row>
    <row r="44" spans="2:3" ht="15">
      <c r="B44" t="s">
        <v>498</v>
      </c>
      <c r="C44" t="s">
        <v>499</v>
      </c>
    </row>
    <row r="45" ht="15">
      <c r="B45" t="s">
        <v>482</v>
      </c>
    </row>
    <row r="46" spans="2:4" ht="15">
      <c r="B46" t="s">
        <v>500</v>
      </c>
      <c r="D46" t="s">
        <v>503</v>
      </c>
    </row>
    <row r="47" spans="2:4" ht="15">
      <c r="B47" t="s">
        <v>501</v>
      </c>
      <c r="D47" t="s">
        <v>502</v>
      </c>
    </row>
    <row r="48" spans="2:4" ht="15">
      <c r="B48" t="s">
        <v>504</v>
      </c>
      <c r="C48" t="s">
        <v>506</v>
      </c>
      <c r="D48" t="s">
        <v>505</v>
      </c>
    </row>
    <row r="49" spans="2:3" ht="15">
      <c r="B49" t="s">
        <v>521</v>
      </c>
      <c r="C49" t="s">
        <v>522</v>
      </c>
    </row>
    <row r="51" spans="2:3" ht="15">
      <c r="B51" t="s">
        <v>524</v>
      </c>
      <c r="C51" t="s">
        <v>525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selection activeCell="J5" sqref="J5"/>
    </sheetView>
  </sheetViews>
  <sheetFormatPr defaultColWidth="9.140625" defaultRowHeight="15"/>
  <cols>
    <col min="2" max="2" width="13.00390625" style="0" customWidth="1"/>
    <col min="3" max="3" width="34.8515625" style="0" customWidth="1"/>
    <col min="7" max="7" width="32.140625" style="0" customWidth="1"/>
    <col min="8" max="8" width="8.7109375" style="0" customWidth="1"/>
    <col min="9" max="9" width="9.140625" style="2" customWidth="1"/>
    <col min="11" max="11" width="9.140625" style="2" customWidth="1"/>
  </cols>
  <sheetData>
    <row r="1" spans="6:11" ht="15">
      <c r="F1" t="s">
        <v>376</v>
      </c>
      <c r="H1" t="s">
        <v>377</v>
      </c>
      <c r="I1" s="2" t="s">
        <v>376</v>
      </c>
      <c r="J1" t="s">
        <v>374</v>
      </c>
      <c r="K1" s="2" t="s">
        <v>375</v>
      </c>
    </row>
    <row r="2" spans="2:11" ht="15">
      <c r="B2" t="s">
        <v>447</v>
      </c>
      <c r="C2" t="s">
        <v>96</v>
      </c>
      <c r="E2" t="s">
        <v>97</v>
      </c>
      <c r="F2" t="s">
        <v>83</v>
      </c>
      <c r="H2" s="3">
        <v>670</v>
      </c>
      <c r="I2" s="41">
        <f>H2*0.8</f>
        <v>536</v>
      </c>
      <c r="J2" s="40">
        <f aca="true" t="shared" si="0" ref="J2:J9">I2*1.05</f>
        <v>562.8000000000001</v>
      </c>
      <c r="K2" s="2">
        <f aca="true" t="shared" si="1" ref="K2:K9">J2*1.18</f>
        <v>664.104</v>
      </c>
    </row>
    <row r="3" spans="2:11" ht="15">
      <c r="B3" t="s">
        <v>378</v>
      </c>
      <c r="C3" t="s">
        <v>102</v>
      </c>
      <c r="E3" t="s">
        <v>141</v>
      </c>
      <c r="F3" t="s">
        <v>143</v>
      </c>
      <c r="H3" s="3">
        <f>I3*1.25</f>
        <v>386.25</v>
      </c>
      <c r="I3" s="41">
        <v>309</v>
      </c>
      <c r="J3" s="40">
        <f>I3*1.05</f>
        <v>324.45</v>
      </c>
      <c r="K3" s="2">
        <f>J3*1.18</f>
        <v>382.85099999999994</v>
      </c>
    </row>
    <row r="4" spans="2:11" ht="15">
      <c r="B4" t="s">
        <v>139</v>
      </c>
      <c r="C4" t="s">
        <v>140</v>
      </c>
      <c r="E4" t="s">
        <v>97</v>
      </c>
      <c r="F4" t="s">
        <v>83</v>
      </c>
      <c r="H4" s="3">
        <v>849</v>
      </c>
      <c r="I4" s="41">
        <f aca="true" t="shared" si="2" ref="I4:I9">H4*0.8</f>
        <v>679.2</v>
      </c>
      <c r="J4" s="40">
        <f t="shared" si="0"/>
        <v>713.1600000000001</v>
      </c>
      <c r="K4" s="2">
        <f t="shared" si="1"/>
        <v>841.5288</v>
      </c>
    </row>
    <row r="5" spans="2:11" ht="15">
      <c r="B5" t="s">
        <v>142</v>
      </c>
      <c r="C5" t="s">
        <v>102</v>
      </c>
      <c r="E5" t="s">
        <v>141</v>
      </c>
      <c r="F5" t="s">
        <v>83</v>
      </c>
      <c r="H5" s="2">
        <v>410</v>
      </c>
      <c r="I5" s="41">
        <f t="shared" si="2"/>
        <v>328</v>
      </c>
      <c r="J5" s="40">
        <f t="shared" si="0"/>
        <v>344.40000000000003</v>
      </c>
      <c r="K5" s="2">
        <f t="shared" si="1"/>
        <v>406.392</v>
      </c>
    </row>
    <row r="6" spans="2:12" ht="15">
      <c r="B6" t="s">
        <v>144</v>
      </c>
      <c r="C6" t="s">
        <v>89</v>
      </c>
      <c r="E6" t="s">
        <v>136</v>
      </c>
      <c r="F6" t="s">
        <v>143</v>
      </c>
      <c r="H6" s="2">
        <v>691</v>
      </c>
      <c r="I6" s="41">
        <f t="shared" si="2"/>
        <v>552.8000000000001</v>
      </c>
      <c r="J6" s="40">
        <f t="shared" si="0"/>
        <v>580.44</v>
      </c>
      <c r="K6" s="2">
        <f t="shared" si="1"/>
        <v>684.9192</v>
      </c>
      <c r="L6" s="2"/>
    </row>
    <row r="7" spans="2:11" ht="15">
      <c r="B7" t="s">
        <v>138</v>
      </c>
      <c r="E7" t="s">
        <v>135</v>
      </c>
      <c r="F7" t="s">
        <v>90</v>
      </c>
      <c r="G7" s="40" t="e">
        <f>#REF!*0.8</f>
        <v>#REF!</v>
      </c>
      <c r="H7" s="2">
        <v>820</v>
      </c>
      <c r="I7" s="41">
        <f t="shared" si="2"/>
        <v>656</v>
      </c>
      <c r="J7" s="40">
        <f t="shared" si="0"/>
        <v>688.8000000000001</v>
      </c>
      <c r="K7" s="2">
        <f t="shared" si="1"/>
        <v>812.784</v>
      </c>
    </row>
    <row r="8" spans="2:11" ht="15">
      <c r="B8" t="s">
        <v>137</v>
      </c>
      <c r="E8" t="s">
        <v>136</v>
      </c>
      <c r="F8" t="s">
        <v>83</v>
      </c>
      <c r="G8" s="40" t="e">
        <f>#REF!*0.8</f>
        <v>#REF!</v>
      </c>
      <c r="H8" s="2">
        <v>849</v>
      </c>
      <c r="I8" s="41">
        <f t="shared" si="2"/>
        <v>679.2</v>
      </c>
      <c r="J8" s="40">
        <f t="shared" si="0"/>
        <v>713.1600000000001</v>
      </c>
      <c r="K8" s="2">
        <f t="shared" si="1"/>
        <v>841.5288</v>
      </c>
    </row>
    <row r="9" spans="2:11" ht="15">
      <c r="B9" t="s">
        <v>149</v>
      </c>
      <c r="C9" t="s">
        <v>150</v>
      </c>
      <c r="E9" t="s">
        <v>84</v>
      </c>
      <c r="F9" t="s">
        <v>148</v>
      </c>
      <c r="H9" s="2">
        <v>2422</v>
      </c>
      <c r="I9" s="41">
        <f t="shared" si="2"/>
        <v>1937.6000000000001</v>
      </c>
      <c r="J9" s="40">
        <f t="shared" si="0"/>
        <v>2034.4800000000002</v>
      </c>
      <c r="K9" s="2">
        <f t="shared" si="1"/>
        <v>2400.6864</v>
      </c>
    </row>
    <row r="13" spans="4:11" ht="15">
      <c r="D13" t="s">
        <v>78</v>
      </c>
      <c r="E13" t="s">
        <v>79</v>
      </c>
      <c r="G13" t="s">
        <v>95</v>
      </c>
      <c r="I13" s="2" t="s">
        <v>86</v>
      </c>
      <c r="J13" t="s">
        <v>85</v>
      </c>
      <c r="K13" s="2" t="s">
        <v>147</v>
      </c>
    </row>
    <row r="15" ht="15">
      <c r="A15" t="s">
        <v>68</v>
      </c>
    </row>
    <row r="16" spans="2:3" ht="15">
      <c r="B16">
        <v>1</v>
      </c>
      <c r="C16" t="s">
        <v>69</v>
      </c>
    </row>
    <row r="17" spans="2:3" ht="15">
      <c r="B17">
        <v>3</v>
      </c>
      <c r="C17" t="s">
        <v>72</v>
      </c>
    </row>
    <row r="19" ht="15">
      <c r="A19" t="s">
        <v>70</v>
      </c>
    </row>
    <row r="20" ht="15">
      <c r="B20" t="s">
        <v>73</v>
      </c>
    </row>
    <row r="21" spans="2:11" ht="15">
      <c r="B21">
        <v>1</v>
      </c>
      <c r="C21" t="s">
        <v>88</v>
      </c>
      <c r="D21" t="s">
        <v>84</v>
      </c>
      <c r="E21" t="s">
        <v>81</v>
      </c>
      <c r="I21" s="2">
        <v>4395</v>
      </c>
      <c r="J21" t="s">
        <v>87</v>
      </c>
      <c r="K21" s="2">
        <f>IF(I21&gt;0,I21*B21,"")</f>
        <v>4395</v>
      </c>
    </row>
    <row r="22" spans="2:11" ht="15">
      <c r="B22">
        <v>1</v>
      </c>
      <c r="C22" t="s">
        <v>96</v>
      </c>
      <c r="D22" t="s">
        <v>97</v>
      </c>
      <c r="E22" t="s">
        <v>83</v>
      </c>
      <c r="G22" t="s">
        <v>145</v>
      </c>
      <c r="I22" s="3">
        <v>670</v>
      </c>
      <c r="K22" s="2">
        <f aca="true" t="shared" si="3" ref="K22:K83">IF(I22&gt;0,I22*B22,"")</f>
        <v>670</v>
      </c>
    </row>
    <row r="23" spans="2:11" ht="15">
      <c r="B23">
        <v>2</v>
      </c>
      <c r="C23" t="s">
        <v>140</v>
      </c>
      <c r="D23" t="s">
        <v>97</v>
      </c>
      <c r="E23" t="s">
        <v>83</v>
      </c>
      <c r="G23" t="s">
        <v>139</v>
      </c>
      <c r="I23" s="3">
        <v>849</v>
      </c>
      <c r="K23" s="2">
        <f t="shared" si="3"/>
        <v>1698</v>
      </c>
    </row>
    <row r="24" spans="2:11" ht="15">
      <c r="B24">
        <v>2</v>
      </c>
      <c r="C24" t="s">
        <v>102</v>
      </c>
      <c r="D24" t="s">
        <v>141</v>
      </c>
      <c r="E24" t="s">
        <v>83</v>
      </c>
      <c r="G24" t="s">
        <v>142</v>
      </c>
      <c r="I24" s="2">
        <v>533</v>
      </c>
      <c r="K24" s="2">
        <f t="shared" si="3"/>
        <v>1066</v>
      </c>
    </row>
    <row r="25" spans="3:11" ht="15">
      <c r="C25" t="s">
        <v>103</v>
      </c>
      <c r="K25" s="2">
        <f t="shared" si="3"/>
      </c>
    </row>
    <row r="26" spans="3:11" ht="15">
      <c r="C26" t="s">
        <v>104</v>
      </c>
      <c r="K26" s="2">
        <f t="shared" si="3"/>
      </c>
    </row>
    <row r="27" ht="15">
      <c r="K27" s="2">
        <f t="shared" si="3"/>
      </c>
    </row>
    <row r="28" spans="2:11" ht="15">
      <c r="B28" t="s">
        <v>105</v>
      </c>
      <c r="K28" s="2">
        <f t="shared" si="3"/>
      </c>
    </row>
    <row r="29" spans="2:11" ht="15">
      <c r="B29">
        <v>1</v>
      </c>
      <c r="C29" t="s">
        <v>106</v>
      </c>
      <c r="D29" t="s">
        <v>107</v>
      </c>
      <c r="E29" t="s">
        <v>81</v>
      </c>
      <c r="K29" s="2">
        <f t="shared" si="3"/>
      </c>
    </row>
    <row r="30" spans="2:11" ht="15">
      <c r="B30" t="s">
        <v>98</v>
      </c>
      <c r="K30" s="2">
        <f t="shared" si="3"/>
      </c>
    </row>
    <row r="31" spans="2:11" ht="15">
      <c r="B31">
        <v>1</v>
      </c>
      <c r="C31" t="s">
        <v>96</v>
      </c>
      <c r="D31" t="s">
        <v>97</v>
      </c>
      <c r="E31" t="s">
        <v>83</v>
      </c>
      <c r="G31" t="s">
        <v>146</v>
      </c>
      <c r="I31" s="3">
        <v>670</v>
      </c>
      <c r="K31" s="2">
        <f t="shared" si="3"/>
        <v>670</v>
      </c>
    </row>
    <row r="32" ht="15">
      <c r="K32" s="2">
        <f t="shared" si="3"/>
      </c>
    </row>
    <row r="33" spans="2:11" ht="15">
      <c r="B33" t="s">
        <v>74</v>
      </c>
      <c r="K33" s="2">
        <f t="shared" si="3"/>
      </c>
    </row>
    <row r="34" spans="2:11" ht="15">
      <c r="B34">
        <v>1</v>
      </c>
      <c r="C34" t="s">
        <v>99</v>
      </c>
      <c r="D34" t="s">
        <v>83</v>
      </c>
      <c r="E34" t="s">
        <v>81</v>
      </c>
      <c r="K34" s="2">
        <f t="shared" si="3"/>
      </c>
    </row>
    <row r="35" spans="2:10" ht="15">
      <c r="B35">
        <v>2</v>
      </c>
      <c r="C35" t="s">
        <v>100</v>
      </c>
      <c r="D35" t="s">
        <v>83</v>
      </c>
      <c r="E35" t="s">
        <v>81</v>
      </c>
      <c r="I35" s="2">
        <v>533</v>
      </c>
      <c r="J35">
        <v>395</v>
      </c>
    </row>
    <row r="36" spans="2:11" ht="15">
      <c r="B36">
        <v>1</v>
      </c>
      <c r="C36" t="s">
        <v>101</v>
      </c>
      <c r="D36" t="s">
        <v>141</v>
      </c>
      <c r="E36" t="s">
        <v>83</v>
      </c>
      <c r="G36" t="s">
        <v>142</v>
      </c>
      <c r="H36" t="s">
        <v>374</v>
      </c>
      <c r="J36" s="2">
        <v>410</v>
      </c>
      <c r="K36" s="2">
        <f>IF(J36&gt;0,J36*B36,"")</f>
        <v>410</v>
      </c>
    </row>
    <row r="37" spans="8:10" ht="15">
      <c r="H37" t="s">
        <v>375</v>
      </c>
      <c r="J37" s="2">
        <v>485</v>
      </c>
    </row>
    <row r="39" spans="2:11" ht="15">
      <c r="B39" t="s">
        <v>75</v>
      </c>
      <c r="K39" s="2">
        <f t="shared" si="3"/>
      </c>
    </row>
    <row r="40" spans="2:11" ht="15">
      <c r="B40">
        <v>1</v>
      </c>
      <c r="C40" t="s">
        <v>150</v>
      </c>
      <c r="D40" t="s">
        <v>84</v>
      </c>
      <c r="E40" t="s">
        <v>148</v>
      </c>
      <c r="G40" t="s">
        <v>149</v>
      </c>
      <c r="I40" s="2">
        <v>2422</v>
      </c>
      <c r="K40" s="2">
        <f t="shared" si="3"/>
        <v>2422</v>
      </c>
    </row>
    <row r="41" spans="2:11" ht="15">
      <c r="B41">
        <v>1</v>
      </c>
      <c r="C41" t="s">
        <v>89</v>
      </c>
      <c r="D41" t="s">
        <v>135</v>
      </c>
      <c r="E41" t="s">
        <v>90</v>
      </c>
      <c r="G41" t="s">
        <v>138</v>
      </c>
      <c r="I41" s="2">
        <v>820</v>
      </c>
      <c r="K41" s="2">
        <f t="shared" si="3"/>
        <v>820</v>
      </c>
    </row>
    <row r="42" spans="2:11" ht="15">
      <c r="B42">
        <v>2</v>
      </c>
      <c r="C42" t="s">
        <v>91</v>
      </c>
      <c r="D42" t="s">
        <v>90</v>
      </c>
      <c r="E42" t="s">
        <v>81</v>
      </c>
      <c r="K42" s="2">
        <f t="shared" si="3"/>
      </c>
    </row>
    <row r="43" spans="2:11" ht="15">
      <c r="B43" t="s">
        <v>76</v>
      </c>
      <c r="K43" s="2">
        <f t="shared" si="3"/>
      </c>
    </row>
    <row r="44" spans="2:11" ht="15">
      <c r="B44">
        <v>1</v>
      </c>
      <c r="C44" t="s">
        <v>93</v>
      </c>
      <c r="D44" t="s">
        <v>83</v>
      </c>
      <c r="E44" t="s">
        <v>94</v>
      </c>
      <c r="K44" s="2">
        <f t="shared" si="3"/>
      </c>
    </row>
    <row r="45" spans="2:11" ht="15">
      <c r="B45" t="s">
        <v>71</v>
      </c>
      <c r="K45" s="2">
        <f t="shared" si="3"/>
      </c>
    </row>
    <row r="46" spans="2:11" ht="15">
      <c r="B46">
        <v>4</v>
      </c>
      <c r="C46" t="s">
        <v>82</v>
      </c>
      <c r="D46" t="s">
        <v>80</v>
      </c>
      <c r="E46" t="s">
        <v>81</v>
      </c>
      <c r="K46" s="2">
        <f t="shared" si="3"/>
      </c>
    </row>
    <row r="47" spans="2:11" ht="15">
      <c r="B47">
        <v>1</v>
      </c>
      <c r="C47" t="s">
        <v>77</v>
      </c>
      <c r="D47" t="s">
        <v>83</v>
      </c>
      <c r="E47" t="s">
        <v>81</v>
      </c>
      <c r="K47" s="2">
        <f t="shared" si="3"/>
      </c>
    </row>
    <row r="48" ht="15">
      <c r="K48" s="2">
        <f t="shared" si="3"/>
      </c>
    </row>
    <row r="49" spans="1:11" ht="15">
      <c r="A49" t="s">
        <v>14</v>
      </c>
      <c r="K49" s="2">
        <f t="shared" si="3"/>
      </c>
    </row>
    <row r="50" spans="2:11" ht="15">
      <c r="B50" t="s">
        <v>108</v>
      </c>
      <c r="K50" s="2">
        <f t="shared" si="3"/>
      </c>
    </row>
    <row r="51" spans="2:14" ht="15">
      <c r="B51">
        <v>3</v>
      </c>
      <c r="C51" t="s">
        <v>89</v>
      </c>
      <c r="D51" t="s">
        <v>136</v>
      </c>
      <c r="E51" t="s">
        <v>83</v>
      </c>
      <c r="G51" t="s">
        <v>137</v>
      </c>
      <c r="H51" s="40">
        <f>I51*0.8</f>
        <v>679.2</v>
      </c>
      <c r="I51" s="2">
        <v>849</v>
      </c>
      <c r="K51" s="2">
        <f t="shared" si="3"/>
        <v>2547</v>
      </c>
      <c r="M51" s="40">
        <f>H51/I51</f>
        <v>0.8</v>
      </c>
      <c r="N51">
        <v>703</v>
      </c>
    </row>
    <row r="52" spans="8:13" ht="15">
      <c r="H52" s="40"/>
      <c r="M52" s="40"/>
    </row>
    <row r="53" spans="2:11" ht="15">
      <c r="B53">
        <v>2</v>
      </c>
      <c r="C53" t="s">
        <v>89</v>
      </c>
      <c r="D53" t="s">
        <v>136</v>
      </c>
      <c r="E53" t="s">
        <v>90</v>
      </c>
      <c r="G53" t="s">
        <v>138</v>
      </c>
      <c r="I53" s="2">
        <v>820</v>
      </c>
      <c r="K53" s="2">
        <f t="shared" si="3"/>
        <v>1640</v>
      </c>
    </row>
    <row r="54" spans="3:11" ht="15">
      <c r="C54" t="s">
        <v>110</v>
      </c>
      <c r="K54" s="2">
        <f t="shared" si="3"/>
      </c>
    </row>
    <row r="55" spans="2:11" ht="15">
      <c r="B55">
        <v>1</v>
      </c>
      <c r="C55" t="s">
        <v>114</v>
      </c>
      <c r="D55" t="s">
        <v>90</v>
      </c>
      <c r="E55" t="s">
        <v>92</v>
      </c>
      <c r="K55" s="2">
        <f t="shared" si="3"/>
      </c>
    </row>
    <row r="56" spans="2:11" ht="15">
      <c r="B56">
        <v>1</v>
      </c>
      <c r="C56" t="s">
        <v>119</v>
      </c>
      <c r="D56" t="s">
        <v>90</v>
      </c>
      <c r="E56" t="s">
        <v>92</v>
      </c>
      <c r="K56" s="2">
        <f t="shared" si="3"/>
      </c>
    </row>
    <row r="57" ht="15">
      <c r="K57" s="2">
        <f t="shared" si="3"/>
      </c>
    </row>
    <row r="58" spans="2:11" ht="15">
      <c r="B58" t="s">
        <v>117</v>
      </c>
      <c r="K58" s="2">
        <f t="shared" si="3"/>
      </c>
    </row>
    <row r="59" spans="2:11" ht="15">
      <c r="B59">
        <v>1</v>
      </c>
      <c r="C59" t="s">
        <v>89</v>
      </c>
      <c r="D59" t="s">
        <v>136</v>
      </c>
      <c r="E59" t="s">
        <v>143</v>
      </c>
      <c r="G59" t="s">
        <v>144</v>
      </c>
      <c r="I59" s="2">
        <v>691</v>
      </c>
      <c r="K59" s="2">
        <f t="shared" si="3"/>
        <v>691</v>
      </c>
    </row>
    <row r="60" spans="2:11" ht="15">
      <c r="B60">
        <v>1</v>
      </c>
      <c r="C60" t="s">
        <v>121</v>
      </c>
      <c r="D60" t="s">
        <v>107</v>
      </c>
      <c r="E60" t="s">
        <v>92</v>
      </c>
      <c r="K60" s="2">
        <f t="shared" si="3"/>
      </c>
    </row>
    <row r="61" spans="2:11" ht="15">
      <c r="B61">
        <v>1</v>
      </c>
      <c r="C61" t="s">
        <v>120</v>
      </c>
      <c r="D61" t="s">
        <v>112</v>
      </c>
      <c r="E61" t="s">
        <v>118</v>
      </c>
      <c r="K61" s="2">
        <f t="shared" si="3"/>
      </c>
    </row>
    <row r="62" spans="2:11" ht="15">
      <c r="B62" t="s">
        <v>109</v>
      </c>
      <c r="K62" s="2">
        <f t="shared" si="3"/>
      </c>
    </row>
    <row r="63" spans="2:11" ht="15">
      <c r="B63">
        <v>3</v>
      </c>
      <c r="C63" t="s">
        <v>89</v>
      </c>
      <c r="D63" t="s">
        <v>136</v>
      </c>
      <c r="E63" t="s">
        <v>143</v>
      </c>
      <c r="G63" t="s">
        <v>144</v>
      </c>
      <c r="I63" s="2">
        <v>691</v>
      </c>
      <c r="K63" s="2">
        <f t="shared" si="3"/>
        <v>2073</v>
      </c>
    </row>
    <row r="64" spans="2:11" ht="15">
      <c r="B64">
        <v>1</v>
      </c>
      <c r="C64" t="s">
        <v>111</v>
      </c>
      <c r="D64" t="s">
        <v>112</v>
      </c>
      <c r="E64" t="s">
        <v>92</v>
      </c>
      <c r="K64" s="2">
        <f t="shared" si="3"/>
      </c>
    </row>
    <row r="65" spans="2:11" ht="15">
      <c r="B65">
        <v>1</v>
      </c>
      <c r="C65" t="s">
        <v>113</v>
      </c>
      <c r="D65" t="s">
        <v>90</v>
      </c>
      <c r="E65" t="s">
        <v>92</v>
      </c>
      <c r="K65" s="2">
        <f t="shared" si="3"/>
      </c>
    </row>
    <row r="66" ht="15">
      <c r="K66" s="2">
        <f t="shared" si="3"/>
      </c>
    </row>
    <row r="67" ht="15">
      <c r="K67" s="2">
        <f t="shared" si="3"/>
      </c>
    </row>
    <row r="68" spans="2:11" ht="15">
      <c r="B68" t="s">
        <v>115</v>
      </c>
      <c r="K68" s="2">
        <f t="shared" si="3"/>
      </c>
    </row>
    <row r="69" spans="2:11" ht="15">
      <c r="B69">
        <v>3</v>
      </c>
      <c r="C69" t="s">
        <v>89</v>
      </c>
      <c r="D69" t="s">
        <v>136</v>
      </c>
      <c r="E69" t="s">
        <v>143</v>
      </c>
      <c r="G69" t="s">
        <v>144</v>
      </c>
      <c r="I69" s="2">
        <v>691</v>
      </c>
      <c r="K69" s="2">
        <f t="shared" si="3"/>
        <v>2073</v>
      </c>
    </row>
    <row r="70" spans="2:11" ht="15">
      <c r="B70">
        <v>1</v>
      </c>
      <c r="C70" t="s">
        <v>113</v>
      </c>
      <c r="D70" t="s">
        <v>83</v>
      </c>
      <c r="E70" t="s">
        <v>92</v>
      </c>
      <c r="K70" s="2">
        <f t="shared" si="3"/>
      </c>
    </row>
    <row r="71" ht="15">
      <c r="K71" s="2">
        <f t="shared" si="3"/>
      </c>
    </row>
    <row r="72" spans="2:11" ht="15">
      <c r="B72" t="s">
        <v>116</v>
      </c>
      <c r="K72" s="2">
        <f t="shared" si="3"/>
      </c>
    </row>
    <row r="73" spans="2:11" ht="15">
      <c r="B73">
        <v>1</v>
      </c>
      <c r="C73" t="s">
        <v>89</v>
      </c>
      <c r="D73" t="s">
        <v>136</v>
      </c>
      <c r="E73" t="s">
        <v>143</v>
      </c>
      <c r="G73" t="s">
        <v>144</v>
      </c>
      <c r="I73" s="2">
        <v>691</v>
      </c>
      <c r="K73" s="2">
        <f t="shared" si="3"/>
        <v>691</v>
      </c>
    </row>
    <row r="74" ht="15">
      <c r="K74" s="2">
        <f t="shared" si="3"/>
      </c>
    </row>
    <row r="75" ht="15">
      <c r="K75" s="2">
        <f t="shared" si="3"/>
      </c>
    </row>
    <row r="76" spans="1:11" ht="15">
      <c r="A76" t="s">
        <v>24</v>
      </c>
      <c r="K76" s="2">
        <f t="shared" si="3"/>
      </c>
    </row>
    <row r="77" spans="2:11" ht="15">
      <c r="B77">
        <v>5</v>
      </c>
      <c r="C77" t="s">
        <v>89</v>
      </c>
      <c r="D77" t="s">
        <v>136</v>
      </c>
      <c r="E77" t="s">
        <v>83</v>
      </c>
      <c r="G77" t="s">
        <v>137</v>
      </c>
      <c r="I77" s="2">
        <v>849</v>
      </c>
      <c r="K77" s="2">
        <f t="shared" si="3"/>
        <v>4245</v>
      </c>
    </row>
    <row r="78" ht="15">
      <c r="K78" s="2">
        <f t="shared" si="3"/>
      </c>
    </row>
    <row r="79" spans="3:12" ht="15">
      <c r="C79" t="s">
        <v>317</v>
      </c>
      <c r="K79" s="2">
        <f t="shared" si="3"/>
      </c>
      <c r="L79" s="32">
        <f>SUM(K15:K77)</f>
        <v>26111</v>
      </c>
    </row>
    <row r="80" spans="1:11" ht="15">
      <c r="A80" t="s">
        <v>123</v>
      </c>
      <c r="K80" s="2">
        <f t="shared" si="3"/>
      </c>
    </row>
    <row r="81" spans="2:11" ht="15">
      <c r="B81" t="s">
        <v>122</v>
      </c>
      <c r="C81" t="s">
        <v>131</v>
      </c>
      <c r="D81" t="s">
        <v>124</v>
      </c>
      <c r="E81" t="s">
        <v>125</v>
      </c>
      <c r="G81" t="s">
        <v>126</v>
      </c>
      <c r="K81" s="2">
        <f t="shared" si="3"/>
      </c>
    </row>
    <row r="82" spans="2:11" ht="15">
      <c r="B82" t="s">
        <v>70</v>
      </c>
      <c r="C82" t="s">
        <v>130</v>
      </c>
      <c r="D82" t="s">
        <v>127</v>
      </c>
      <c r="E82" t="s">
        <v>128</v>
      </c>
      <c r="G82" t="s">
        <v>129</v>
      </c>
      <c r="K82" s="2">
        <f t="shared" si="3"/>
      </c>
    </row>
    <row r="83" spans="2:11" ht="15">
      <c r="B83" t="s">
        <v>14</v>
      </c>
      <c r="C83" t="s">
        <v>133</v>
      </c>
      <c r="D83" t="s">
        <v>83</v>
      </c>
      <c r="E83" t="s">
        <v>80</v>
      </c>
      <c r="G83" t="s">
        <v>132</v>
      </c>
      <c r="K83" s="2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0">
      <selection activeCell="T45" sqref="T45"/>
    </sheetView>
  </sheetViews>
  <sheetFormatPr defaultColWidth="9.140625" defaultRowHeight="15"/>
  <cols>
    <col min="8" max="9" width="9.28125" style="59" bestFit="1" customWidth="1"/>
    <col min="10" max="10" width="13.8515625" style="59" customWidth="1"/>
    <col min="11" max="11" width="9.57421875" style="0" bestFit="1" customWidth="1"/>
    <col min="12" max="13" width="11.00390625" style="0" customWidth="1"/>
    <col min="14" max="15" width="9.57421875" style="0" bestFit="1" customWidth="1"/>
    <col min="18" max="18" width="9.57421875" style="0" bestFit="1" customWidth="1"/>
  </cols>
  <sheetData>
    <row r="1" spans="3:16" ht="15">
      <c r="C1" t="s">
        <v>78</v>
      </c>
      <c r="D1" t="s">
        <v>134</v>
      </c>
      <c r="E1" t="s">
        <v>198</v>
      </c>
      <c r="F1" t="s">
        <v>79</v>
      </c>
      <c r="J1" s="59" t="s">
        <v>395</v>
      </c>
      <c r="L1" t="s">
        <v>393</v>
      </c>
      <c r="N1" t="s">
        <v>396</v>
      </c>
      <c r="P1" t="s">
        <v>188</v>
      </c>
    </row>
    <row r="2" ht="15">
      <c r="A2" t="s">
        <v>68</v>
      </c>
    </row>
    <row r="3" spans="2:14" ht="15">
      <c r="B3" t="s">
        <v>164</v>
      </c>
      <c r="C3" t="s">
        <v>152</v>
      </c>
      <c r="D3" t="s">
        <v>151</v>
      </c>
      <c r="E3" s="4">
        <f>(30+7/12)*(21.33)</f>
        <v>652.3425</v>
      </c>
      <c r="F3">
        <v>9</v>
      </c>
      <c r="H3" s="59">
        <f>30+7/12</f>
        <v>30.583333333333332</v>
      </c>
      <c r="I3" s="59">
        <v>21.5</v>
      </c>
      <c r="J3" s="59">
        <f>H3*I3</f>
        <v>657.5416666666666</v>
      </c>
      <c r="L3" s="23">
        <f>2*(H3+I3)</f>
        <v>104.16666666666666</v>
      </c>
      <c r="M3" s="23"/>
      <c r="N3" s="23">
        <f>L3*F3</f>
        <v>937.4999999999999</v>
      </c>
    </row>
    <row r="4" spans="2:14" ht="15">
      <c r="B4" t="s">
        <v>165</v>
      </c>
      <c r="C4" t="s">
        <v>166</v>
      </c>
      <c r="D4" t="s">
        <v>167</v>
      </c>
      <c r="E4" s="4">
        <f>35.666*22.666</f>
        <v>808.4055559999999</v>
      </c>
      <c r="F4">
        <v>9</v>
      </c>
      <c r="H4" s="59">
        <v>35.66</v>
      </c>
      <c r="I4" s="59">
        <v>22.66</v>
      </c>
      <c r="J4" s="59">
        <f>H4*I4</f>
        <v>808.0555999999999</v>
      </c>
      <c r="L4" s="23">
        <f>2*(H4+I4)</f>
        <v>116.63999999999999</v>
      </c>
      <c r="M4" s="23"/>
      <c r="N4" s="23">
        <f>L4*F4</f>
        <v>1049.7599999999998</v>
      </c>
    </row>
    <row r="5" spans="11:15" ht="15">
      <c r="K5" s="59">
        <f>SUM(J3:J4)</f>
        <v>1465.5972666666667</v>
      </c>
      <c r="O5" s="59">
        <f>SUM(N3:N4)</f>
        <v>1987.2599999999998</v>
      </c>
    </row>
    <row r="6" ht="15">
      <c r="A6" t="s">
        <v>70</v>
      </c>
    </row>
    <row r="7" spans="2:17" ht="15">
      <c r="B7" t="s">
        <v>73</v>
      </c>
      <c r="C7" t="s">
        <v>151</v>
      </c>
      <c r="D7" t="s">
        <v>152</v>
      </c>
      <c r="E7">
        <v>652</v>
      </c>
      <c r="F7">
        <v>10</v>
      </c>
      <c r="H7" s="59">
        <v>21.66</v>
      </c>
      <c r="I7" s="59">
        <v>30.6</v>
      </c>
      <c r="J7" s="59">
        <f>H7*I7</f>
        <v>662.796</v>
      </c>
      <c r="L7" s="23">
        <f>2*(H7+I7)</f>
        <v>104.52000000000001</v>
      </c>
      <c r="M7" s="23"/>
      <c r="N7" s="23">
        <f>L7*F7</f>
        <v>1045.2</v>
      </c>
      <c r="P7">
        <v>1</v>
      </c>
      <c r="Q7" s="23">
        <f>IF(P7=1,P7*J7,"")</f>
        <v>662.796</v>
      </c>
    </row>
    <row r="8" spans="2:17" ht="15">
      <c r="B8" t="s">
        <v>105</v>
      </c>
      <c r="C8" t="s">
        <v>153</v>
      </c>
      <c r="D8" t="s">
        <v>154</v>
      </c>
      <c r="E8">
        <v>92</v>
      </c>
      <c r="F8">
        <v>10</v>
      </c>
      <c r="H8" s="59">
        <v>6.5</v>
      </c>
      <c r="I8" s="59">
        <v>14.2</v>
      </c>
      <c r="J8" s="59">
        <f>H8*I8</f>
        <v>92.3</v>
      </c>
      <c r="L8" s="23">
        <f>2*(H8+I8)</f>
        <v>41.4</v>
      </c>
      <c r="M8" s="23"/>
      <c r="N8" s="23">
        <f>L8*F8</f>
        <v>414</v>
      </c>
      <c r="P8">
        <v>1</v>
      </c>
      <c r="Q8" s="23">
        <f aca="true" t="shared" si="0" ref="Q8:Q18">IF(P8=1,P8*J8,"")</f>
        <v>92.3</v>
      </c>
    </row>
    <row r="9" spans="2:17" ht="15">
      <c r="B9" t="s">
        <v>98</v>
      </c>
      <c r="Q9" s="23">
        <f t="shared" si="0"/>
      </c>
    </row>
    <row r="10" spans="2:17" ht="15">
      <c r="B10" t="s">
        <v>74</v>
      </c>
      <c r="C10" t="s">
        <v>394</v>
      </c>
      <c r="D10" t="s">
        <v>392</v>
      </c>
      <c r="E10">
        <v>266</v>
      </c>
      <c r="F10">
        <v>10</v>
      </c>
      <c r="H10" s="59">
        <v>22.66</v>
      </c>
      <c r="I10" s="59">
        <v>12.66</v>
      </c>
      <c r="J10" s="59">
        <f>H10*I10</f>
        <v>286.8756</v>
      </c>
      <c r="L10" s="23">
        <f>2*(H10+I10)</f>
        <v>70.64</v>
      </c>
      <c r="M10" s="23"/>
      <c r="N10" s="23">
        <f>L10*F10</f>
        <v>706.4</v>
      </c>
      <c r="P10">
        <v>1</v>
      </c>
      <c r="Q10" s="23">
        <f t="shared" si="0"/>
        <v>286.8756</v>
      </c>
    </row>
    <row r="11" spans="2:17" ht="15">
      <c r="B11" t="s">
        <v>75</v>
      </c>
      <c r="C11" t="s">
        <v>156</v>
      </c>
      <c r="D11" t="s">
        <v>157</v>
      </c>
      <c r="E11">
        <v>244</v>
      </c>
      <c r="F11">
        <v>10</v>
      </c>
      <c r="H11" s="59">
        <v>15.66</v>
      </c>
      <c r="I11" s="59">
        <v>15.66</v>
      </c>
      <c r="J11" s="59">
        <f>H11*I11</f>
        <v>245.2356</v>
      </c>
      <c r="L11" s="23">
        <f>2*(H11+I11)</f>
        <v>62.64</v>
      </c>
      <c r="M11" s="23"/>
      <c r="N11" s="23">
        <f>L11*F11</f>
        <v>626.4</v>
      </c>
      <c r="P11">
        <v>1</v>
      </c>
      <c r="Q11" s="23">
        <f t="shared" si="0"/>
        <v>245.2356</v>
      </c>
    </row>
    <row r="12" spans="2:17" ht="15">
      <c r="B12" t="s">
        <v>158</v>
      </c>
      <c r="C12" t="s">
        <v>156</v>
      </c>
      <c r="D12" t="s">
        <v>160</v>
      </c>
      <c r="E12">
        <v>46</v>
      </c>
      <c r="F12">
        <v>10</v>
      </c>
      <c r="H12" s="59">
        <v>15.66</v>
      </c>
      <c r="I12" s="59">
        <v>3.6</v>
      </c>
      <c r="J12" s="59">
        <f>H12*I12</f>
        <v>56.376000000000005</v>
      </c>
      <c r="L12" s="23">
        <f>2*(H12+I12)</f>
        <v>38.52</v>
      </c>
      <c r="M12" s="23"/>
      <c r="N12" s="23">
        <f>L12*F12</f>
        <v>385.20000000000005</v>
      </c>
      <c r="P12">
        <v>1</v>
      </c>
      <c r="Q12" s="23">
        <f t="shared" si="0"/>
        <v>56.376000000000005</v>
      </c>
    </row>
    <row r="13" spans="2:17" ht="15">
      <c r="B13" t="s">
        <v>159</v>
      </c>
      <c r="C13" t="s">
        <v>155</v>
      </c>
      <c r="D13" t="s">
        <v>161</v>
      </c>
      <c r="E13">
        <v>83</v>
      </c>
      <c r="F13">
        <v>10</v>
      </c>
      <c r="H13" s="59">
        <v>22.66</v>
      </c>
      <c r="I13" s="59">
        <v>3.66</v>
      </c>
      <c r="J13" s="59">
        <f>H13*I13</f>
        <v>82.93560000000001</v>
      </c>
      <c r="L13" s="23">
        <f>2*(H13+I13)</f>
        <v>52.64</v>
      </c>
      <c r="M13" s="23"/>
      <c r="N13" s="23">
        <f>L13*F13</f>
        <v>526.4</v>
      </c>
      <c r="P13">
        <v>1</v>
      </c>
      <c r="Q13" s="23">
        <f t="shared" si="0"/>
        <v>82.93560000000001</v>
      </c>
    </row>
    <row r="14" spans="11:18" ht="15">
      <c r="K14" s="23">
        <f>SUM(J7:J13)</f>
        <v>1426.5188</v>
      </c>
      <c r="M14" s="23">
        <f>SUM(L7:L13)</f>
        <v>370.35999999999996</v>
      </c>
      <c r="O14" s="23">
        <f>SUM(N7:N13)</f>
        <v>3703.6</v>
      </c>
      <c r="Q14" s="23">
        <f t="shared" si="0"/>
      </c>
      <c r="R14" s="23">
        <f>SUM(Q7:Q13)</f>
        <v>1426.5188</v>
      </c>
    </row>
    <row r="15" spans="1:17" ht="15">
      <c r="A15" t="s">
        <v>410</v>
      </c>
      <c r="Q15" s="23">
        <f t="shared" si="0"/>
      </c>
    </row>
    <row r="16" spans="1:17" ht="15">
      <c r="A16" t="s">
        <v>411</v>
      </c>
      <c r="Q16" s="23">
        <f t="shared" si="0"/>
      </c>
    </row>
    <row r="17" spans="1:17" ht="15">
      <c r="A17" t="s">
        <v>412</v>
      </c>
      <c r="M17" s="23"/>
      <c r="Q17" s="23">
        <f t="shared" si="0"/>
      </c>
    </row>
    <row r="18" spans="1:20" ht="15">
      <c r="A18" t="s">
        <v>413</v>
      </c>
      <c r="O18" s="23">
        <f>O14/12/4</f>
        <v>77.15833333333333</v>
      </c>
      <c r="Q18" s="23">
        <f t="shared" si="0"/>
      </c>
      <c r="R18" s="23">
        <f>R14/12/4</f>
        <v>29.71914166666667</v>
      </c>
      <c r="S18" s="23">
        <f>R18+O18</f>
        <v>106.877475</v>
      </c>
      <c r="T18" t="s">
        <v>414</v>
      </c>
    </row>
    <row r="21" ht="15">
      <c r="A21" t="s">
        <v>14</v>
      </c>
    </row>
    <row r="22" spans="2:14" ht="15">
      <c r="B22" t="s">
        <v>108</v>
      </c>
      <c r="C22">
        <v>31</v>
      </c>
      <c r="D22" t="s">
        <v>168</v>
      </c>
      <c r="E22">
        <v>552</v>
      </c>
      <c r="F22">
        <v>10</v>
      </c>
      <c r="H22" s="59">
        <v>31</v>
      </c>
      <c r="I22" s="59">
        <v>21</v>
      </c>
      <c r="J22" s="59">
        <f aca="true" t="shared" si="1" ref="J22:J30">H22*I22</f>
        <v>651</v>
      </c>
      <c r="L22" s="23">
        <f>2*(H22+I22)</f>
        <v>104</v>
      </c>
      <c r="M22" s="23"/>
      <c r="N22" s="23">
        <f aca="true" t="shared" si="2" ref="N22:N30">L22*F22</f>
        <v>1040</v>
      </c>
    </row>
    <row r="23" spans="2:14" ht="15">
      <c r="B23" t="s">
        <v>169</v>
      </c>
      <c r="C23" t="s">
        <v>172</v>
      </c>
      <c r="D23" t="s">
        <v>173</v>
      </c>
      <c r="E23">
        <v>76</v>
      </c>
      <c r="F23">
        <v>8</v>
      </c>
      <c r="H23" s="59">
        <v>9</v>
      </c>
      <c r="I23" s="59">
        <v>9.25</v>
      </c>
      <c r="J23" s="59">
        <f t="shared" si="1"/>
        <v>83.25</v>
      </c>
      <c r="L23" s="23">
        <f>2*(H23+I23)</f>
        <v>36.5</v>
      </c>
      <c r="M23" s="23"/>
      <c r="N23" s="23">
        <f t="shared" si="2"/>
        <v>292</v>
      </c>
    </row>
    <row r="24" spans="2:14" ht="15">
      <c r="B24" t="s">
        <v>170</v>
      </c>
      <c r="C24" t="s">
        <v>107</v>
      </c>
      <c r="D24" t="s">
        <v>171</v>
      </c>
      <c r="E24">
        <v>18</v>
      </c>
      <c r="F24">
        <v>8</v>
      </c>
      <c r="H24" s="59">
        <v>3</v>
      </c>
      <c r="I24" s="59">
        <v>6</v>
      </c>
      <c r="J24" s="59">
        <f t="shared" si="1"/>
        <v>18</v>
      </c>
      <c r="L24" s="23">
        <f aca="true" t="shared" si="3" ref="L24:L30">2*(H24+I24)</f>
        <v>18</v>
      </c>
      <c r="M24" s="23"/>
      <c r="N24" s="23">
        <f t="shared" si="2"/>
        <v>144</v>
      </c>
    </row>
    <row r="25" spans="2:14" ht="15">
      <c r="B25" t="s">
        <v>109</v>
      </c>
      <c r="C25" t="s">
        <v>174</v>
      </c>
      <c r="D25" t="s">
        <v>175</v>
      </c>
      <c r="E25">
        <v>200</v>
      </c>
      <c r="F25">
        <v>8</v>
      </c>
      <c r="H25" s="59">
        <v>18.8</v>
      </c>
      <c r="I25" s="59">
        <v>13</v>
      </c>
      <c r="J25" s="59">
        <f t="shared" si="1"/>
        <v>244.4</v>
      </c>
      <c r="L25" s="23">
        <f t="shared" si="3"/>
        <v>63.6</v>
      </c>
      <c r="M25" s="23"/>
      <c r="N25" s="23">
        <f t="shared" si="2"/>
        <v>508.8</v>
      </c>
    </row>
    <row r="26" spans="2:14" ht="15">
      <c r="B26" t="s">
        <v>115</v>
      </c>
      <c r="C26" t="s">
        <v>176</v>
      </c>
      <c r="D26" t="s">
        <v>177</v>
      </c>
      <c r="E26">
        <v>281</v>
      </c>
      <c r="F26">
        <v>8</v>
      </c>
      <c r="H26" s="59">
        <v>14.5</v>
      </c>
      <c r="I26" s="59">
        <v>19.5</v>
      </c>
      <c r="J26" s="59">
        <f t="shared" si="1"/>
        <v>282.75</v>
      </c>
      <c r="L26" s="23">
        <f t="shared" si="3"/>
        <v>68</v>
      </c>
      <c r="M26" s="23"/>
      <c r="N26" s="23">
        <f t="shared" si="2"/>
        <v>544</v>
      </c>
    </row>
    <row r="27" spans="2:14" ht="15">
      <c r="B27" t="s">
        <v>178</v>
      </c>
      <c r="C27" t="s">
        <v>180</v>
      </c>
      <c r="D27" t="s">
        <v>181</v>
      </c>
      <c r="E27">
        <v>48</v>
      </c>
      <c r="F27">
        <v>8</v>
      </c>
      <c r="H27" s="59">
        <v>8</v>
      </c>
      <c r="I27" s="59">
        <v>6</v>
      </c>
      <c r="J27" s="59">
        <f t="shared" si="1"/>
        <v>48</v>
      </c>
      <c r="L27" s="23">
        <f t="shared" si="3"/>
        <v>28</v>
      </c>
      <c r="M27" s="23"/>
      <c r="N27" s="23">
        <f t="shared" si="2"/>
        <v>224</v>
      </c>
    </row>
    <row r="28" spans="2:14" ht="15">
      <c r="B28" t="s">
        <v>179</v>
      </c>
      <c r="C28" t="s">
        <v>180</v>
      </c>
      <c r="D28" t="s">
        <v>182</v>
      </c>
      <c r="E28">
        <v>81</v>
      </c>
      <c r="F28">
        <v>8</v>
      </c>
      <c r="H28" s="59">
        <v>8</v>
      </c>
      <c r="I28" s="59">
        <v>10.5</v>
      </c>
      <c r="J28" s="59">
        <f t="shared" si="1"/>
        <v>84</v>
      </c>
      <c r="L28" s="23">
        <f t="shared" si="3"/>
        <v>37</v>
      </c>
      <c r="M28" s="23"/>
      <c r="N28" s="23">
        <f t="shared" si="2"/>
        <v>296</v>
      </c>
    </row>
    <row r="29" spans="2:14" ht="15">
      <c r="B29" t="s">
        <v>183</v>
      </c>
      <c r="C29" t="s">
        <v>185</v>
      </c>
      <c r="D29" t="s">
        <v>184</v>
      </c>
      <c r="E29">
        <v>95</v>
      </c>
      <c r="F29">
        <v>8</v>
      </c>
      <c r="H29" s="59">
        <v>10.5</v>
      </c>
      <c r="I29" s="59">
        <v>15.5</v>
      </c>
      <c r="J29" s="59">
        <f t="shared" si="1"/>
        <v>162.75</v>
      </c>
      <c r="L29" s="23">
        <f t="shared" si="3"/>
        <v>52</v>
      </c>
      <c r="M29" s="23"/>
      <c r="N29" s="23">
        <f t="shared" si="2"/>
        <v>416</v>
      </c>
    </row>
    <row r="30" spans="2:14" ht="15">
      <c r="B30" t="s">
        <v>186</v>
      </c>
      <c r="C30" t="s">
        <v>83</v>
      </c>
      <c r="D30" t="s">
        <v>80</v>
      </c>
      <c r="E30">
        <f>54</f>
        <v>54</v>
      </c>
      <c r="F30">
        <v>8</v>
      </c>
      <c r="H30" s="59">
        <v>8</v>
      </c>
      <c r="I30" s="59">
        <v>12</v>
      </c>
      <c r="J30" s="59">
        <f t="shared" si="1"/>
        <v>96</v>
      </c>
      <c r="L30" s="23">
        <f t="shared" si="3"/>
        <v>40</v>
      </c>
      <c r="M30" s="23"/>
      <c r="N30" s="23">
        <f t="shared" si="2"/>
        <v>320</v>
      </c>
    </row>
    <row r="31" spans="11:20" ht="15">
      <c r="K31" s="23">
        <f>SUM(J22:J30)</f>
        <v>1670.15</v>
      </c>
      <c r="O31" s="23">
        <f>SUM(N22:N30)</f>
        <v>3784.8</v>
      </c>
      <c r="S31">
        <f>(O31+K31)/48</f>
        <v>113.64479166666668</v>
      </c>
      <c r="T31" t="s">
        <v>414</v>
      </c>
    </row>
    <row r="32" ht="15">
      <c r="B32">
        <v>5</v>
      </c>
    </row>
    <row r="33" ht="15">
      <c r="A33" t="s">
        <v>24</v>
      </c>
    </row>
    <row r="34" spans="2:14" ht="15">
      <c r="B34" t="s">
        <v>188</v>
      </c>
      <c r="C34" t="str">
        <f>C10</f>
        <v>22'8-3/8"</v>
      </c>
      <c r="D34" t="s">
        <v>187</v>
      </c>
      <c r="E34">
        <f>601-E30</f>
        <v>547</v>
      </c>
      <c r="F34">
        <v>8</v>
      </c>
      <c r="H34" s="59">
        <v>22.66</v>
      </c>
      <c r="I34" s="59">
        <v>25.6</v>
      </c>
      <c r="J34" s="59">
        <f>H34*I34</f>
        <v>580.096</v>
      </c>
      <c r="L34" s="23">
        <f>2*(H34+I34)</f>
        <v>96.52000000000001</v>
      </c>
      <c r="M34" s="23"/>
      <c r="N34" s="23">
        <f>L34*F34</f>
        <v>772.1600000000001</v>
      </c>
    </row>
    <row r="35" spans="2:14" ht="15">
      <c r="B35" t="s">
        <v>186</v>
      </c>
      <c r="C35" t="s">
        <v>83</v>
      </c>
      <c r="D35" t="s">
        <v>80</v>
      </c>
      <c r="E35">
        <f>E30</f>
        <v>54</v>
      </c>
      <c r="F35">
        <v>8</v>
      </c>
      <c r="H35" s="59">
        <v>7</v>
      </c>
      <c r="I35" s="59">
        <v>10</v>
      </c>
      <c r="J35" s="59">
        <f>H35*I35</f>
        <v>70</v>
      </c>
      <c r="L35" s="23">
        <f>2*(H35+I35)</f>
        <v>34</v>
      </c>
      <c r="M35" s="23"/>
      <c r="N35" s="23">
        <f>L35*F35</f>
        <v>272</v>
      </c>
    </row>
    <row r="36" spans="11:20" ht="15">
      <c r="K36" s="23">
        <f>SUM(J34:J35)</f>
        <v>650.096</v>
      </c>
      <c r="O36" s="23">
        <f>SUM(N34:N35)</f>
        <v>1044.16</v>
      </c>
      <c r="S36">
        <f>(O36+K36)/48</f>
        <v>35.297000000000004</v>
      </c>
      <c r="T36" t="s">
        <v>415</v>
      </c>
    </row>
    <row r="37" ht="15">
      <c r="B37" t="s">
        <v>189</v>
      </c>
    </row>
    <row r="38" ht="15">
      <c r="O38">
        <f>SUM(O9:O36)</f>
        <v>8609.718333333334</v>
      </c>
    </row>
    <row r="39" ht="15">
      <c r="O39">
        <f>O38/12/8</f>
        <v>89.68456597222223</v>
      </c>
    </row>
    <row r="41" ht="15">
      <c r="E41" s="5">
        <f>SUM(F46:F47)</f>
        <v>1592.8333333333335</v>
      </c>
    </row>
    <row r="42" ht="15">
      <c r="S42">
        <f>SUM(S9:S36)</f>
        <v>255.81926666666666</v>
      </c>
    </row>
    <row r="43" spans="2:13" ht="15">
      <c r="B43" t="s">
        <v>162</v>
      </c>
      <c r="C43">
        <v>22</v>
      </c>
      <c r="D43">
        <v>23</v>
      </c>
      <c r="E43">
        <v>520</v>
      </c>
      <c r="F43">
        <v>9</v>
      </c>
      <c r="H43" s="59">
        <v>22</v>
      </c>
      <c r="I43" s="59">
        <v>23</v>
      </c>
      <c r="J43" s="59">
        <f>H43*I43</f>
        <v>506</v>
      </c>
      <c r="L43" s="23">
        <f>2*(H43+I43)</f>
        <v>90</v>
      </c>
      <c r="M43" s="23"/>
    </row>
    <row r="44" spans="2:20" ht="15">
      <c r="B44" t="s">
        <v>163</v>
      </c>
      <c r="C44">
        <v>23</v>
      </c>
      <c r="D44">
        <v>16</v>
      </c>
      <c r="E44">
        <v>378</v>
      </c>
      <c r="F44">
        <v>10</v>
      </c>
      <c r="H44" s="59">
        <v>23</v>
      </c>
      <c r="I44" s="59">
        <v>16</v>
      </c>
      <c r="J44" s="59">
        <f>H44*I44</f>
        <v>368</v>
      </c>
      <c r="L44" s="23">
        <f>2*(H44+I44)</f>
        <v>78</v>
      </c>
      <c r="M44" s="23"/>
      <c r="S44">
        <v>280</v>
      </c>
      <c r="T44" t="s">
        <v>406</v>
      </c>
    </row>
    <row r="46" spans="1:9" ht="15">
      <c r="A46" t="s">
        <v>190</v>
      </c>
      <c r="B46" t="s">
        <v>191</v>
      </c>
      <c r="C46">
        <v>32</v>
      </c>
      <c r="F46" s="4">
        <f>(21+10/12)*32</f>
        <v>698.6666666666666</v>
      </c>
      <c r="G46" s="42"/>
      <c r="H46" s="27"/>
      <c r="I46" s="27"/>
    </row>
    <row r="47" spans="2:9" ht="15">
      <c r="B47" t="s">
        <v>192</v>
      </c>
      <c r="C47">
        <v>37</v>
      </c>
      <c r="F47" s="4">
        <f>(24+2/12)*37</f>
        <v>894.1666666666667</v>
      </c>
      <c r="G47" s="42"/>
      <c r="H47" s="27"/>
      <c r="I47" s="27"/>
    </row>
    <row r="48" ht="15">
      <c r="G48" s="5">
        <f>SUM(F46:F47)</f>
        <v>1592.8333333333335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24"/>
  <sheetViews>
    <sheetView zoomScalePageLayoutView="0" workbookViewId="0" topLeftCell="A1">
      <selection activeCell="M22" sqref="M22"/>
    </sheetView>
  </sheetViews>
  <sheetFormatPr defaultColWidth="9.140625" defaultRowHeight="15"/>
  <cols>
    <col min="9" max="9" width="9.57421875" style="0" bestFit="1" customWidth="1"/>
    <col min="10" max="10" width="10.57421875" style="0" bestFit="1" customWidth="1"/>
  </cols>
  <sheetData>
    <row r="5" ht="15">
      <c r="A5" t="s">
        <v>203</v>
      </c>
    </row>
    <row r="7" spans="2:8" ht="15">
      <c r="B7" t="s">
        <v>193</v>
      </c>
      <c r="C7" t="s">
        <v>194</v>
      </c>
      <c r="D7" t="s">
        <v>195</v>
      </c>
      <c r="F7" t="s">
        <v>196</v>
      </c>
      <c r="G7" t="s">
        <v>197</v>
      </c>
      <c r="H7" t="s">
        <v>198</v>
      </c>
    </row>
    <row r="8" spans="1:8" ht="15">
      <c r="A8" t="s">
        <v>199</v>
      </c>
      <c r="B8" s="6">
        <f>14+5/12</f>
        <v>14.416666666666666</v>
      </c>
      <c r="C8" s="6">
        <v>17.333</v>
      </c>
      <c r="D8" s="6">
        <f>10/12</f>
        <v>0.8333333333333334</v>
      </c>
      <c r="E8" s="7">
        <v>0.425</v>
      </c>
      <c r="F8" s="6">
        <f>21+10/12</f>
        <v>21.833333333333332</v>
      </c>
      <c r="G8" s="6">
        <f>SQRT(B8^2+C8^2)</f>
        <v>22.54491443270029</v>
      </c>
      <c r="H8" s="9">
        <f>G8*F8</f>
        <v>492.23063178062296</v>
      </c>
    </row>
    <row r="9" spans="1:8" ht="15">
      <c r="A9" t="s">
        <v>200</v>
      </c>
      <c r="B9" s="6">
        <f>14+5/12</f>
        <v>14.416666666666666</v>
      </c>
      <c r="C9" s="6">
        <v>17.333</v>
      </c>
      <c r="D9" s="6">
        <f>10/12</f>
        <v>0.8333333333333334</v>
      </c>
      <c r="E9" s="7">
        <v>0.425</v>
      </c>
      <c r="F9" s="6">
        <f>21+10/12</f>
        <v>21.833333333333332</v>
      </c>
      <c r="G9" s="6">
        <f>SQRT(B9^2+C9^2)</f>
        <v>22.54491443270029</v>
      </c>
      <c r="H9" s="9">
        <f>G9*F9</f>
        <v>492.23063178062296</v>
      </c>
    </row>
    <row r="10" spans="2:7" ht="15">
      <c r="B10" s="6"/>
      <c r="C10" s="6"/>
      <c r="F10" s="6"/>
      <c r="G10" s="6"/>
    </row>
    <row r="11" spans="1:8" ht="15">
      <c r="A11" t="s">
        <v>201</v>
      </c>
      <c r="B11" s="6">
        <v>7</v>
      </c>
      <c r="C11" s="6">
        <f>20+11/12</f>
        <v>20.916666666666668</v>
      </c>
      <c r="D11" s="6">
        <f>B11/C11</f>
        <v>0.3346613545816733</v>
      </c>
      <c r="E11" s="8">
        <v>0.17500000000000002</v>
      </c>
      <c r="F11" s="6">
        <f>46-F8</f>
        <v>24.166666666666668</v>
      </c>
      <c r="G11" s="6">
        <f>SQRT(B11^2+C11^2)</f>
        <v>22.05690242179179</v>
      </c>
      <c r="H11" s="9">
        <f>G11*F11</f>
        <v>533.0418085266349</v>
      </c>
    </row>
    <row r="12" spans="1:8" ht="15">
      <c r="A12" t="s">
        <v>202</v>
      </c>
      <c r="B12" s="6">
        <v>15.667</v>
      </c>
      <c r="C12" s="6">
        <v>18.667</v>
      </c>
      <c r="D12" s="6">
        <f>B12/C12</f>
        <v>0.8392885841324261</v>
      </c>
      <c r="E12" s="8">
        <v>0.425</v>
      </c>
      <c r="F12" s="6">
        <f>46-F9</f>
        <v>24.166666666666668</v>
      </c>
      <c r="G12" s="6">
        <f>SQRT(B12^2+C12^2)</f>
        <v>24.370305250447725</v>
      </c>
      <c r="H12" s="9">
        <f>G12*F12</f>
        <v>588.9490435524867</v>
      </c>
    </row>
    <row r="13" spans="2:6" ht="15">
      <c r="B13" s="6"/>
      <c r="C13" s="6"/>
      <c r="F13" s="6"/>
    </row>
    <row r="14" spans="2:10" ht="15">
      <c r="B14" s="6"/>
      <c r="C14" s="6"/>
      <c r="I14" s="9">
        <f>SUM(H8:H12)</f>
        <v>2106.4521156403675</v>
      </c>
      <c r="J14" t="s">
        <v>204</v>
      </c>
    </row>
    <row r="15" spans="2:3" ht="15">
      <c r="B15" s="6"/>
      <c r="C15" s="6"/>
    </row>
    <row r="16" spans="2:3" ht="15">
      <c r="B16" s="6"/>
      <c r="C16" s="6"/>
    </row>
    <row r="17" spans="1:3" ht="15">
      <c r="A17" t="s">
        <v>71</v>
      </c>
      <c r="B17" s="6"/>
      <c r="C17" s="6"/>
    </row>
    <row r="18" spans="1:8" ht="15">
      <c r="A18" t="s">
        <v>164</v>
      </c>
      <c r="B18" s="6">
        <f>11+4.5/12</f>
        <v>11.375</v>
      </c>
      <c r="C18" s="6">
        <f>13+5.5/12</f>
        <v>13.458333333333334</v>
      </c>
      <c r="D18" s="6">
        <f>B18/C18</f>
        <v>0.8452012383900929</v>
      </c>
      <c r="E18" s="8">
        <v>0.425</v>
      </c>
      <c r="F18">
        <v>42</v>
      </c>
      <c r="G18" s="6">
        <f>SQRT(B18^2+C18^2)</f>
        <v>17.62150280512735</v>
      </c>
      <c r="H18" s="9">
        <f>G18*F18</f>
        <v>740.1031178153487</v>
      </c>
    </row>
    <row r="19" spans="1:8" ht="15">
      <c r="A19" t="s">
        <v>165</v>
      </c>
      <c r="B19" s="6">
        <f>11+4.5/12</f>
        <v>11.375</v>
      </c>
      <c r="C19" s="6">
        <f>13+5.5/12</f>
        <v>13.458333333333334</v>
      </c>
      <c r="D19" s="6">
        <f>B19/C19</f>
        <v>0.8452012383900929</v>
      </c>
      <c r="E19" s="8">
        <v>0.425</v>
      </c>
      <c r="F19">
        <v>42</v>
      </c>
      <c r="G19" s="6">
        <f>SQRT(B19^2+C19^2)</f>
        <v>17.62150280512735</v>
      </c>
      <c r="H19" s="9">
        <f>G19*F19</f>
        <v>740.1031178153487</v>
      </c>
    </row>
    <row r="20" spans="9:10" ht="15">
      <c r="I20" s="9">
        <f>SUM(H18:H19)</f>
        <v>1480.2062356306974</v>
      </c>
      <c r="J20" t="s">
        <v>204</v>
      </c>
    </row>
    <row r="21" spans="10:13" ht="15">
      <c r="J21" s="9">
        <f>I14+I20</f>
        <v>3586.658351271065</v>
      </c>
      <c r="K21" t="s">
        <v>204</v>
      </c>
      <c r="L21">
        <v>70</v>
      </c>
      <c r="M21">
        <f>J21*0.7</f>
        <v>2510.6608458897454</v>
      </c>
    </row>
    <row r="22" spans="10:11" ht="15">
      <c r="J22">
        <f>J21/32</f>
        <v>112.08307347722078</v>
      </c>
      <c r="K22" t="s">
        <v>318</v>
      </c>
    </row>
    <row r="23" spans="10:11" ht="15">
      <c r="J23">
        <v>30</v>
      </c>
      <c r="K23" t="s">
        <v>319</v>
      </c>
    </row>
    <row r="24" ht="15">
      <c r="J24" s="28">
        <f>J22*J23</f>
        <v>3362.4922043166234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88"/>
  <sheetViews>
    <sheetView view="pageBreakPreview" zoomScale="60" workbookViewId="0" topLeftCell="A39">
      <pane ySplit="3090" topLeftCell="A1" activePane="bottomLeft" state="split"/>
      <selection pane="topLeft" activeCell="J34" sqref="J34"/>
      <selection pane="bottomLeft" activeCell="U34" sqref="U34"/>
    </sheetView>
  </sheetViews>
  <sheetFormatPr defaultColWidth="9.140625" defaultRowHeight="15"/>
  <cols>
    <col min="2" max="2" width="19.140625" style="0" customWidth="1"/>
    <col min="3" max="3" width="12.421875" style="0" customWidth="1"/>
    <col min="5" max="5" width="10.57421875" style="0" customWidth="1"/>
    <col min="6" max="6" width="9.57421875" style="0" bestFit="1" customWidth="1"/>
    <col min="8" max="8" width="9.57421875" style="0" bestFit="1" customWidth="1"/>
    <col min="10" max="10" width="10.28125" style="33" customWidth="1"/>
    <col min="11" max="11" width="8.00390625" style="0" customWidth="1"/>
    <col min="12" max="12" width="10.8515625" style="0" customWidth="1"/>
    <col min="13" max="13" width="6.7109375" style="0" customWidth="1"/>
    <col min="14" max="14" width="7.8515625" style="0" customWidth="1"/>
    <col min="15" max="15" width="10.28125" style="42" customWidth="1"/>
    <col min="16" max="16" width="10.28125" style="96" customWidth="1"/>
    <col min="17" max="17" width="10.28125" style="33" customWidth="1"/>
    <col min="18" max="18" width="12.421875" style="33" customWidth="1"/>
    <col min="19" max="19" width="5.28125" style="0" customWidth="1"/>
    <col min="20" max="20" width="6.28125" style="0" customWidth="1"/>
    <col min="21" max="21" width="14.421875" style="85" customWidth="1"/>
    <col min="22" max="22" width="14.421875" style="96" customWidth="1"/>
    <col min="23" max="23" width="13.421875" style="33" customWidth="1"/>
    <col min="24" max="24" width="21.140625" style="68" bestFit="1" customWidth="1"/>
    <col min="25" max="25" width="11.140625" style="0" bestFit="1" customWidth="1"/>
    <col min="26" max="26" width="12.7109375" style="0" bestFit="1" customWidth="1"/>
    <col min="28" max="28" width="10.57421875" style="0" bestFit="1" customWidth="1"/>
  </cols>
  <sheetData>
    <row r="2" spans="2:24" s="1" customFormat="1" ht="15">
      <c r="B2" s="1" t="s">
        <v>274</v>
      </c>
      <c r="J2" s="35"/>
      <c r="O2" s="35"/>
      <c r="P2" s="88"/>
      <c r="Q2" s="35"/>
      <c r="R2" s="35"/>
      <c r="U2" s="88"/>
      <c r="V2" s="88"/>
      <c r="W2" s="35"/>
      <c r="X2" s="67"/>
    </row>
    <row r="5" ht="15">
      <c r="B5" t="s">
        <v>273</v>
      </c>
    </row>
    <row r="8" spans="6:18" ht="15">
      <c r="F8" s="243" t="s">
        <v>294</v>
      </c>
      <c r="G8" s="243"/>
      <c r="H8" s="243"/>
      <c r="I8" s="243"/>
      <c r="J8" s="243"/>
      <c r="O8" s="60"/>
      <c r="P8" s="97"/>
      <c r="Q8" s="24"/>
      <c r="R8" s="24"/>
    </row>
    <row r="9" spans="2:10" ht="15">
      <c r="B9" t="s">
        <v>293</v>
      </c>
      <c r="F9">
        <v>8</v>
      </c>
      <c r="G9">
        <v>10</v>
      </c>
      <c r="I9">
        <v>12</v>
      </c>
      <c r="J9" s="33">
        <v>16</v>
      </c>
    </row>
    <row r="10" spans="2:10" ht="15">
      <c r="B10" t="s">
        <v>234</v>
      </c>
      <c r="F10">
        <v>1.98</v>
      </c>
      <c r="G10">
        <v>2.97</v>
      </c>
      <c r="I10">
        <v>3.57</v>
      </c>
      <c r="J10" s="33">
        <v>4.76</v>
      </c>
    </row>
    <row r="11" spans="2:10" ht="15">
      <c r="B11" t="s">
        <v>233</v>
      </c>
      <c r="F11">
        <v>3.53</v>
      </c>
      <c r="G11">
        <v>4.38</v>
      </c>
      <c r="I11">
        <v>6.3</v>
      </c>
      <c r="J11" s="33">
        <v>6.98</v>
      </c>
    </row>
    <row r="12" spans="2:10" ht="15">
      <c r="B12" t="s">
        <v>231</v>
      </c>
      <c r="F12">
        <v>4.99</v>
      </c>
      <c r="G12">
        <v>6.29</v>
      </c>
      <c r="I12">
        <v>7.55</v>
      </c>
      <c r="J12" s="33">
        <v>9.98</v>
      </c>
    </row>
    <row r="13" spans="2:10" ht="15">
      <c r="B13" t="s">
        <v>232</v>
      </c>
      <c r="F13">
        <v>6.22</v>
      </c>
      <c r="G13">
        <v>7.78</v>
      </c>
      <c r="I13">
        <v>9.34</v>
      </c>
      <c r="J13" s="33">
        <v>12.45</v>
      </c>
    </row>
    <row r="14" spans="2:10" ht="15">
      <c r="B14" t="s">
        <v>218</v>
      </c>
      <c r="I14">
        <v>11.98</v>
      </c>
      <c r="J14" s="33">
        <v>15.87</v>
      </c>
    </row>
    <row r="16" spans="6:18" ht="15">
      <c r="F16" s="243" t="s">
        <v>295</v>
      </c>
      <c r="G16" s="243"/>
      <c r="H16" s="243"/>
      <c r="I16" s="243"/>
      <c r="J16" s="243"/>
      <c r="O16" s="60"/>
      <c r="P16" s="97"/>
      <c r="Q16" s="24"/>
      <c r="R16" s="24"/>
    </row>
    <row r="17" spans="2:18" ht="15">
      <c r="B17" t="s">
        <v>293</v>
      </c>
      <c r="F17">
        <v>8</v>
      </c>
      <c r="G17">
        <v>10</v>
      </c>
      <c r="I17">
        <v>12</v>
      </c>
      <c r="J17" s="33">
        <v>16</v>
      </c>
      <c r="R17" t="s">
        <v>397</v>
      </c>
    </row>
    <row r="18" spans="2:18" ht="15">
      <c r="B18" t="s">
        <v>234</v>
      </c>
      <c r="F18" s="25">
        <f aca="true" t="shared" si="0" ref="F18:G21">F10/F$9</f>
        <v>0.2475</v>
      </c>
      <c r="G18" s="25">
        <f t="shared" si="0"/>
        <v>0.29700000000000004</v>
      </c>
      <c r="H18" s="25"/>
      <c r="I18" s="25">
        <f aca="true" t="shared" si="1" ref="I18:J22">I10/I$9</f>
        <v>0.2975</v>
      </c>
      <c r="J18" s="18">
        <f t="shared" si="1"/>
        <v>0.2975</v>
      </c>
      <c r="Q18" s="18"/>
      <c r="R18" s="79">
        <f>I18</f>
        <v>0.2975</v>
      </c>
    </row>
    <row r="19" spans="2:18" ht="15">
      <c r="B19" t="s">
        <v>233</v>
      </c>
      <c r="F19" s="25">
        <f t="shared" si="0"/>
        <v>0.44125</v>
      </c>
      <c r="G19" s="25">
        <f t="shared" si="0"/>
        <v>0.438</v>
      </c>
      <c r="H19" s="25"/>
      <c r="I19" s="25">
        <f t="shared" si="1"/>
        <v>0.525</v>
      </c>
      <c r="J19" s="18">
        <f t="shared" si="1"/>
        <v>0.43625</v>
      </c>
      <c r="Q19" s="18"/>
      <c r="R19" s="79">
        <f>G19</f>
        <v>0.438</v>
      </c>
    </row>
    <row r="20" spans="2:18" ht="15">
      <c r="B20" t="s">
        <v>231</v>
      </c>
      <c r="F20" s="25">
        <f t="shared" si="0"/>
        <v>0.62375</v>
      </c>
      <c r="G20" s="25">
        <f t="shared" si="0"/>
        <v>0.629</v>
      </c>
      <c r="H20" s="25"/>
      <c r="I20" s="25">
        <f t="shared" si="1"/>
        <v>0.6291666666666667</v>
      </c>
      <c r="J20" s="18">
        <f t="shared" si="1"/>
        <v>0.62375</v>
      </c>
      <c r="Q20" s="18"/>
      <c r="R20" s="79">
        <f>G20</f>
        <v>0.629</v>
      </c>
    </row>
    <row r="21" spans="2:18" ht="15">
      <c r="B21" t="s">
        <v>232</v>
      </c>
      <c r="F21" s="25">
        <f t="shared" si="0"/>
        <v>0.7775</v>
      </c>
      <c r="G21" s="25">
        <f t="shared" si="0"/>
        <v>0.778</v>
      </c>
      <c r="H21" s="25"/>
      <c r="I21" s="25">
        <f t="shared" si="1"/>
        <v>0.7783333333333333</v>
      </c>
      <c r="J21" s="18">
        <f t="shared" si="1"/>
        <v>0.778125</v>
      </c>
      <c r="Q21" s="18"/>
      <c r="R21" s="79">
        <f>G21</f>
        <v>0.778</v>
      </c>
    </row>
    <row r="22" spans="2:18" ht="15">
      <c r="B22" t="s">
        <v>218</v>
      </c>
      <c r="F22" s="25"/>
      <c r="G22" s="25"/>
      <c r="H22" s="25"/>
      <c r="I22" s="25">
        <f t="shared" si="1"/>
        <v>0.9983333333333334</v>
      </c>
      <c r="J22" s="18">
        <f t="shared" si="1"/>
        <v>0.991875</v>
      </c>
      <c r="Q22" s="18"/>
      <c r="R22" s="79">
        <f>I22</f>
        <v>0.9983333333333334</v>
      </c>
    </row>
    <row r="23" spans="2:23" ht="15">
      <c r="B23" s="48" t="s">
        <v>404</v>
      </c>
      <c r="F23" s="25"/>
      <c r="G23" s="25"/>
      <c r="H23" s="25"/>
      <c r="I23" s="25"/>
      <c r="J23" s="42"/>
      <c r="Q23" s="42"/>
      <c r="R23" s="80">
        <f>R20</f>
        <v>0.629</v>
      </c>
      <c r="W23" s="42"/>
    </row>
    <row r="24" spans="2:23" ht="15">
      <c r="B24" s="100" t="s">
        <v>431</v>
      </c>
      <c r="F24" s="68"/>
      <c r="G24" s="68"/>
      <c r="H24" s="68"/>
      <c r="I24" s="68"/>
      <c r="J24" s="96"/>
      <c r="O24" s="96"/>
      <c r="Q24" s="96"/>
      <c r="R24" s="80">
        <f>0.9</f>
        <v>0.9</v>
      </c>
      <c r="U24" s="96"/>
      <c r="W24" s="96"/>
    </row>
    <row r="25" spans="2:23" ht="15">
      <c r="B25" s="48" t="s">
        <v>403</v>
      </c>
      <c r="F25" s="25"/>
      <c r="G25" s="25"/>
      <c r="H25" s="25"/>
      <c r="I25" s="25"/>
      <c r="J25" s="42"/>
      <c r="Q25" s="42"/>
      <c r="R25" s="80">
        <v>1</v>
      </c>
      <c r="W25" s="42"/>
    </row>
    <row r="26" spans="2:23" ht="15">
      <c r="B26" s="48" t="s">
        <v>405</v>
      </c>
      <c r="F26" s="25"/>
      <c r="G26" s="25"/>
      <c r="H26" s="25"/>
      <c r="I26" s="25"/>
      <c r="J26" s="42"/>
      <c r="Q26" s="42"/>
      <c r="R26" s="80">
        <v>1.4</v>
      </c>
      <c r="W26" s="42"/>
    </row>
    <row r="27" spans="2:23" ht="15">
      <c r="B27" s="100" t="s">
        <v>433</v>
      </c>
      <c r="F27" s="68"/>
      <c r="G27" s="68"/>
      <c r="H27" s="68"/>
      <c r="I27" s="68"/>
      <c r="J27" s="96"/>
      <c r="O27" s="96"/>
      <c r="Q27" s="96"/>
      <c r="R27" s="80">
        <v>0.8</v>
      </c>
      <c r="U27" s="96"/>
      <c r="W27" s="96"/>
    </row>
    <row r="28" spans="2:18" ht="15">
      <c r="B28" t="s">
        <v>387</v>
      </c>
      <c r="F28" s="25"/>
      <c r="G28" s="25"/>
      <c r="H28" s="25"/>
      <c r="I28" s="25"/>
      <c r="J28" s="18"/>
      <c r="Q28" s="18"/>
      <c r="R28" s="81">
        <v>14</v>
      </c>
    </row>
    <row r="29" spans="2:18" ht="15">
      <c r="B29" t="s">
        <v>386</v>
      </c>
      <c r="F29" s="25"/>
      <c r="G29" s="25"/>
      <c r="H29" s="25"/>
      <c r="I29" s="25"/>
      <c r="R29" s="81">
        <v>19</v>
      </c>
    </row>
    <row r="30" spans="2:18" ht="15">
      <c r="B30" t="s">
        <v>305</v>
      </c>
      <c r="F30" s="25"/>
      <c r="G30" s="25"/>
      <c r="H30" s="25"/>
      <c r="I30" s="25"/>
      <c r="J30" s="18"/>
      <c r="Q30" s="18"/>
      <c r="R30" s="79">
        <v>2</v>
      </c>
    </row>
    <row r="31" spans="2:18" ht="15">
      <c r="B31" t="s">
        <v>311</v>
      </c>
      <c r="F31" s="25"/>
      <c r="G31" s="25"/>
      <c r="H31" s="25"/>
      <c r="I31" s="25"/>
      <c r="J31" s="18"/>
      <c r="Q31" s="18"/>
      <c r="R31" s="82">
        <v>2</v>
      </c>
    </row>
    <row r="32" spans="2:18" ht="15">
      <c r="B32" t="s">
        <v>342</v>
      </c>
      <c r="C32">
        <v>4</v>
      </c>
      <c r="D32">
        <v>8</v>
      </c>
      <c r="E32" s="34">
        <v>6.97</v>
      </c>
      <c r="F32" s="25"/>
      <c r="G32" s="25"/>
      <c r="H32" s="25"/>
      <c r="I32" s="25"/>
      <c r="J32" s="18"/>
      <c r="Q32" s="18"/>
      <c r="R32" s="39">
        <f aca="true" t="shared" si="2" ref="R32:R45">E32/D32/C32</f>
        <v>0.2178125</v>
      </c>
    </row>
    <row r="33" spans="2:18" ht="15">
      <c r="B33" t="s">
        <v>343</v>
      </c>
      <c r="C33">
        <v>4</v>
      </c>
      <c r="D33">
        <v>8</v>
      </c>
      <c r="E33" s="34">
        <v>11.73</v>
      </c>
      <c r="F33" s="25"/>
      <c r="G33" s="25"/>
      <c r="H33" s="25"/>
      <c r="I33" s="25"/>
      <c r="J33" s="18"/>
      <c r="Q33" s="18"/>
      <c r="R33" s="39">
        <f t="shared" si="2"/>
        <v>0.3665625</v>
      </c>
    </row>
    <row r="34" spans="2:18" ht="15">
      <c r="B34" t="s">
        <v>381</v>
      </c>
      <c r="C34">
        <v>4</v>
      </c>
      <c r="D34">
        <v>8</v>
      </c>
      <c r="E34" s="34">
        <v>14.77</v>
      </c>
      <c r="F34" s="25"/>
      <c r="G34" s="25"/>
      <c r="H34" s="25"/>
      <c r="I34" s="25"/>
      <c r="R34" s="39">
        <f t="shared" si="2"/>
        <v>0.4615625</v>
      </c>
    </row>
    <row r="35" spans="2:18" ht="15">
      <c r="B35" t="s">
        <v>344</v>
      </c>
      <c r="C35">
        <v>4</v>
      </c>
      <c r="D35">
        <v>8</v>
      </c>
      <c r="E35" s="34">
        <v>18.92</v>
      </c>
      <c r="F35" s="25"/>
      <c r="G35" s="25"/>
      <c r="H35" s="25"/>
      <c r="I35" s="25"/>
      <c r="J35" s="18"/>
      <c r="Q35" s="18"/>
      <c r="R35" s="39">
        <f t="shared" si="2"/>
        <v>0.59125</v>
      </c>
    </row>
    <row r="36" spans="2:18" ht="15">
      <c r="B36" t="s">
        <v>348</v>
      </c>
      <c r="C36">
        <v>4</v>
      </c>
      <c r="D36">
        <v>8</v>
      </c>
      <c r="E36" s="34">
        <v>10.66</v>
      </c>
      <c r="F36" s="25"/>
      <c r="G36" s="25"/>
      <c r="H36" s="25"/>
      <c r="I36" s="25"/>
      <c r="J36" s="18"/>
      <c r="Q36" s="18"/>
      <c r="R36" s="39">
        <f t="shared" si="2"/>
        <v>0.333125</v>
      </c>
    </row>
    <row r="37" spans="2:18" ht="15">
      <c r="B37" t="s">
        <v>379</v>
      </c>
      <c r="C37">
        <v>4</v>
      </c>
      <c r="D37">
        <v>8</v>
      </c>
      <c r="E37" s="34">
        <v>20.34</v>
      </c>
      <c r="F37" s="25"/>
      <c r="G37" s="25"/>
      <c r="H37" s="25"/>
      <c r="I37" s="25"/>
      <c r="R37" s="39">
        <f t="shared" si="2"/>
        <v>0.635625</v>
      </c>
    </row>
    <row r="38" spans="2:23" ht="15">
      <c r="B38" t="s">
        <v>398</v>
      </c>
      <c r="C38">
        <v>4</v>
      </c>
      <c r="D38">
        <v>8</v>
      </c>
      <c r="E38" s="34">
        <v>21.84</v>
      </c>
      <c r="F38" s="25"/>
      <c r="G38" s="25"/>
      <c r="H38" s="25"/>
      <c r="I38" s="25"/>
      <c r="J38" s="42"/>
      <c r="Q38" s="42"/>
      <c r="R38" s="39">
        <f t="shared" si="2"/>
        <v>0.6825</v>
      </c>
      <c r="W38" s="42"/>
    </row>
    <row r="39" spans="2:18" ht="15">
      <c r="B39" t="s">
        <v>352</v>
      </c>
      <c r="C39">
        <v>4</v>
      </c>
      <c r="D39">
        <v>8</v>
      </c>
      <c r="E39" s="34">
        <v>10.28</v>
      </c>
      <c r="F39" s="25"/>
      <c r="G39" s="25"/>
      <c r="H39" s="25"/>
      <c r="I39" s="25"/>
      <c r="J39" s="18"/>
      <c r="Q39" s="18"/>
      <c r="R39" s="39">
        <f t="shared" si="2"/>
        <v>0.32125</v>
      </c>
    </row>
    <row r="40" spans="2:18" ht="15">
      <c r="B40" t="s">
        <v>366</v>
      </c>
      <c r="C40">
        <v>150</v>
      </c>
      <c r="D40">
        <v>9</v>
      </c>
      <c r="E40" s="34">
        <v>156</v>
      </c>
      <c r="F40" s="25"/>
      <c r="G40" s="25"/>
      <c r="H40" s="25"/>
      <c r="I40" s="25"/>
      <c r="J40" s="18"/>
      <c r="Q40" s="18"/>
      <c r="R40" s="39">
        <f t="shared" si="2"/>
        <v>0.11555555555555555</v>
      </c>
    </row>
    <row r="41" spans="2:18" ht="15">
      <c r="B41" t="s">
        <v>367</v>
      </c>
      <c r="C41">
        <v>4</v>
      </c>
      <c r="D41">
        <v>8</v>
      </c>
      <c r="E41" s="34">
        <v>5.98</v>
      </c>
      <c r="F41" s="25"/>
      <c r="G41" s="25"/>
      <c r="H41" s="25"/>
      <c r="I41" s="25"/>
      <c r="J41" s="18"/>
      <c r="Q41" s="18"/>
      <c r="R41" s="39">
        <f t="shared" si="2"/>
        <v>0.186875</v>
      </c>
    </row>
    <row r="42" spans="2:18" ht="15">
      <c r="B42" t="s">
        <v>370</v>
      </c>
      <c r="C42">
        <v>4</v>
      </c>
      <c r="D42">
        <v>10</v>
      </c>
      <c r="E42" s="34">
        <v>7.48</v>
      </c>
      <c r="F42" s="25"/>
      <c r="G42" s="25"/>
      <c r="H42" s="25"/>
      <c r="I42" s="25"/>
      <c r="J42" s="18"/>
      <c r="Q42" s="18"/>
      <c r="R42" s="39">
        <f t="shared" si="2"/>
        <v>0.187</v>
      </c>
    </row>
    <row r="43" spans="2:18" ht="15">
      <c r="B43" t="s">
        <v>368</v>
      </c>
      <c r="C43">
        <v>4</v>
      </c>
      <c r="D43">
        <v>12</v>
      </c>
      <c r="E43" s="34">
        <v>8.92</v>
      </c>
      <c r="F43" s="25"/>
      <c r="G43" s="25"/>
      <c r="H43" s="25"/>
      <c r="I43" s="25"/>
      <c r="J43" s="18"/>
      <c r="Q43" s="18"/>
      <c r="R43" s="39">
        <f t="shared" si="2"/>
        <v>0.18583333333333332</v>
      </c>
    </row>
    <row r="44" spans="2:18" ht="15">
      <c r="B44" t="s">
        <v>369</v>
      </c>
      <c r="C44">
        <v>4</v>
      </c>
      <c r="D44">
        <v>8</v>
      </c>
      <c r="E44" s="34">
        <v>8.94</v>
      </c>
      <c r="F44" s="25"/>
      <c r="G44" s="25"/>
      <c r="H44" s="25"/>
      <c r="I44" s="25"/>
      <c r="J44" s="18"/>
      <c r="Q44" s="18"/>
      <c r="R44" s="39">
        <f t="shared" si="2"/>
        <v>0.279375</v>
      </c>
    </row>
    <row r="45" spans="2:18" ht="15">
      <c r="B45" t="s">
        <v>380</v>
      </c>
      <c r="C45">
        <v>4</v>
      </c>
      <c r="D45">
        <v>8</v>
      </c>
      <c r="E45" s="34">
        <v>6.98</v>
      </c>
      <c r="F45" s="25"/>
      <c r="G45" s="25"/>
      <c r="H45" s="25"/>
      <c r="I45" s="25"/>
      <c r="R45" s="39">
        <f t="shared" si="2"/>
        <v>0.218125</v>
      </c>
    </row>
    <row r="46" spans="5:25" ht="15">
      <c r="E46" s="34"/>
      <c r="F46" s="25"/>
      <c r="G46" s="25"/>
      <c r="H46" s="25"/>
      <c r="I46" s="25"/>
      <c r="J46" s="42"/>
      <c r="Q46" s="42"/>
      <c r="R46" s="42"/>
      <c r="W46" s="42"/>
      <c r="Y46" s="39"/>
    </row>
    <row r="47" spans="5:18" ht="15">
      <c r="E47" s="34"/>
      <c r="F47" s="25"/>
      <c r="G47" s="25"/>
      <c r="H47" s="25"/>
      <c r="I47" s="25"/>
      <c r="J47" s="18"/>
      <c r="L47" s="39"/>
      <c r="Q47" s="18"/>
      <c r="R47" s="18"/>
    </row>
    <row r="48" spans="1:25" ht="15">
      <c r="A48" t="s">
        <v>212</v>
      </c>
      <c r="C48" t="s">
        <v>212</v>
      </c>
      <c r="F48" t="s">
        <v>216</v>
      </c>
      <c r="L48" t="s">
        <v>213</v>
      </c>
      <c r="N48" s="33" t="s">
        <v>217</v>
      </c>
      <c r="W48"/>
      <c r="Y48" t="s">
        <v>218</v>
      </c>
    </row>
    <row r="49" spans="2:30" ht="15">
      <c r="B49" t="s">
        <v>432</v>
      </c>
      <c r="C49" t="s">
        <v>214</v>
      </c>
      <c r="F49" t="s">
        <v>215</v>
      </c>
      <c r="I49" t="s">
        <v>3</v>
      </c>
      <c r="L49" t="s">
        <v>214</v>
      </c>
      <c r="N49" s="33" t="s">
        <v>215</v>
      </c>
      <c r="T49" t="s">
        <v>3</v>
      </c>
      <c r="W49" s="29" t="s">
        <v>219</v>
      </c>
      <c r="X49" s="69"/>
      <c r="Y49" s="29">
        <v>4</v>
      </c>
      <c r="AD49">
        <v>8</v>
      </c>
    </row>
    <row r="50" spans="3:23" ht="15">
      <c r="C50">
        <v>17</v>
      </c>
      <c r="F50">
        <v>40</v>
      </c>
      <c r="I50">
        <f>F50*C50</f>
        <v>680</v>
      </c>
      <c r="L50">
        <v>1</v>
      </c>
      <c r="N50" s="33">
        <v>41</v>
      </c>
      <c r="T50">
        <f aca="true" t="shared" si="3" ref="T50:T57">N50*L50</f>
        <v>41</v>
      </c>
      <c r="W50"/>
    </row>
    <row r="51" spans="3:23" ht="15">
      <c r="C51">
        <v>3</v>
      </c>
      <c r="F51">
        <v>41</v>
      </c>
      <c r="I51">
        <f>F51*C51</f>
        <v>123</v>
      </c>
      <c r="L51">
        <v>1</v>
      </c>
      <c r="N51" s="33">
        <v>40</v>
      </c>
      <c r="T51">
        <f t="shared" si="3"/>
        <v>40</v>
      </c>
      <c r="W51"/>
    </row>
    <row r="52" spans="3:23" ht="15">
      <c r="C52">
        <v>7</v>
      </c>
      <c r="F52">
        <v>8</v>
      </c>
      <c r="I52">
        <f>F52*C52</f>
        <v>56</v>
      </c>
      <c r="L52">
        <v>1</v>
      </c>
      <c r="N52" s="33">
        <v>25</v>
      </c>
      <c r="T52">
        <f t="shared" si="3"/>
        <v>25</v>
      </c>
      <c r="W52"/>
    </row>
    <row r="53" spans="3:23" ht="15">
      <c r="C53">
        <v>7</v>
      </c>
      <c r="F53">
        <v>22</v>
      </c>
      <c r="I53">
        <f>F53*C53</f>
        <v>154</v>
      </c>
      <c r="L53">
        <v>1</v>
      </c>
      <c r="N53" s="33">
        <v>16.75</v>
      </c>
      <c r="T53">
        <f t="shared" si="3"/>
        <v>16.75</v>
      </c>
      <c r="W53"/>
    </row>
    <row r="54" spans="3:23" ht="15">
      <c r="C54">
        <v>25</v>
      </c>
      <c r="F54">
        <v>22</v>
      </c>
      <c r="I54">
        <f>F54*C54</f>
        <v>550</v>
      </c>
      <c r="L54">
        <v>1</v>
      </c>
      <c r="N54" s="33">
        <v>8.75</v>
      </c>
      <c r="T54">
        <f t="shared" si="3"/>
        <v>8.75</v>
      </c>
      <c r="W54"/>
    </row>
    <row r="55" spans="12:23" ht="15">
      <c r="L55">
        <v>1</v>
      </c>
      <c r="N55" s="33">
        <v>1</v>
      </c>
      <c r="T55">
        <f t="shared" si="3"/>
        <v>1</v>
      </c>
      <c r="W55"/>
    </row>
    <row r="56" spans="10:23" ht="15">
      <c r="J56" s="33">
        <f>SUM(I50:I56)</f>
        <v>1563</v>
      </c>
      <c r="L56">
        <v>2</v>
      </c>
      <c r="N56" s="33">
        <v>22</v>
      </c>
      <c r="T56">
        <f t="shared" si="3"/>
        <v>44</v>
      </c>
      <c r="W56"/>
    </row>
    <row r="57" spans="12:23" ht="15">
      <c r="L57">
        <v>2</v>
      </c>
      <c r="N57" s="33">
        <v>32</v>
      </c>
      <c r="T57">
        <f t="shared" si="3"/>
        <v>64</v>
      </c>
      <c r="U57" s="85">
        <f>SUM(T50:T57)</f>
        <v>240.5</v>
      </c>
      <c r="W57"/>
    </row>
    <row r="58" spans="14:23" ht="15">
      <c r="N58" s="33"/>
      <c r="W58"/>
    </row>
    <row r="59" spans="14:23" ht="15">
      <c r="N59" s="33"/>
      <c r="W59"/>
    </row>
    <row r="60" spans="14:23" ht="15">
      <c r="N60" s="33"/>
      <c r="W60"/>
    </row>
    <row r="61" spans="2:25" ht="15">
      <c r="B61" t="s">
        <v>14</v>
      </c>
      <c r="C61" t="s">
        <v>212</v>
      </c>
      <c r="F61" t="s">
        <v>216</v>
      </c>
      <c r="L61" t="s">
        <v>213</v>
      </c>
      <c r="N61" s="33" t="s">
        <v>217</v>
      </c>
      <c r="W61" t="s">
        <v>220</v>
      </c>
      <c r="Y61" t="s">
        <v>218</v>
      </c>
    </row>
    <row r="62" spans="3:30" ht="15">
      <c r="C62">
        <v>14</v>
      </c>
      <c r="F62">
        <v>15</v>
      </c>
      <c r="I62">
        <f aca="true" t="shared" si="4" ref="I62:I69">F62*C62</f>
        <v>210</v>
      </c>
      <c r="L62">
        <v>1</v>
      </c>
      <c r="N62" s="33">
        <v>40</v>
      </c>
      <c r="T62">
        <f aca="true" t="shared" si="5" ref="T62:T72">N62*L62</f>
        <v>40</v>
      </c>
      <c r="W62"/>
      <c r="Y62">
        <v>4</v>
      </c>
      <c r="AD62">
        <v>8</v>
      </c>
    </row>
    <row r="63" spans="3:25" ht="15">
      <c r="C63">
        <v>5</v>
      </c>
      <c r="F63">
        <v>4</v>
      </c>
      <c r="I63">
        <f t="shared" si="4"/>
        <v>20</v>
      </c>
      <c r="L63">
        <v>1</v>
      </c>
      <c r="N63" s="33">
        <v>16.75</v>
      </c>
      <c r="T63">
        <f t="shared" si="5"/>
        <v>16.75</v>
      </c>
      <c r="W63" s="29" t="s">
        <v>221</v>
      </c>
      <c r="X63" s="69"/>
      <c r="Y63" s="29"/>
    </row>
    <row r="64" spans="3:23" ht="15">
      <c r="C64">
        <v>25</v>
      </c>
      <c r="F64">
        <v>26</v>
      </c>
      <c r="I64">
        <f t="shared" si="4"/>
        <v>650</v>
      </c>
      <c r="L64">
        <v>1</v>
      </c>
      <c r="N64" s="33">
        <v>1</v>
      </c>
      <c r="T64">
        <f t="shared" si="5"/>
        <v>1</v>
      </c>
      <c r="W64"/>
    </row>
    <row r="65" spans="3:23" ht="15">
      <c r="C65">
        <v>11</v>
      </c>
      <c r="F65">
        <v>25</v>
      </c>
      <c r="I65">
        <f t="shared" si="4"/>
        <v>275</v>
      </c>
      <c r="L65">
        <v>1</v>
      </c>
      <c r="N65" s="33">
        <v>8.75</v>
      </c>
      <c r="T65">
        <f t="shared" si="5"/>
        <v>8.75</v>
      </c>
      <c r="W65"/>
    </row>
    <row r="66" spans="3:23" ht="15">
      <c r="C66">
        <v>2</v>
      </c>
      <c r="F66">
        <v>26</v>
      </c>
      <c r="I66">
        <f t="shared" si="4"/>
        <v>52</v>
      </c>
      <c r="L66">
        <v>1</v>
      </c>
      <c r="N66" s="33">
        <v>6</v>
      </c>
      <c r="T66">
        <f t="shared" si="5"/>
        <v>6</v>
      </c>
      <c r="W66"/>
    </row>
    <row r="67" spans="3:23" ht="15">
      <c r="C67">
        <v>2</v>
      </c>
      <c r="F67">
        <v>41</v>
      </c>
      <c r="I67">
        <f t="shared" si="4"/>
        <v>82</v>
      </c>
      <c r="L67">
        <v>2</v>
      </c>
      <c r="N67" s="33">
        <v>20</v>
      </c>
      <c r="T67">
        <f t="shared" si="5"/>
        <v>40</v>
      </c>
      <c r="W67"/>
    </row>
    <row r="68" spans="3:23" ht="15">
      <c r="C68">
        <v>1</v>
      </c>
      <c r="F68">
        <v>40</v>
      </c>
      <c r="I68">
        <f t="shared" si="4"/>
        <v>40</v>
      </c>
      <c r="L68">
        <v>1</v>
      </c>
      <c r="N68" s="33">
        <v>32</v>
      </c>
      <c r="T68">
        <f t="shared" si="5"/>
        <v>32</v>
      </c>
      <c r="W68"/>
    </row>
    <row r="69" spans="3:23" ht="15">
      <c r="C69">
        <v>5</v>
      </c>
      <c r="F69">
        <v>6</v>
      </c>
      <c r="I69">
        <f t="shared" si="4"/>
        <v>30</v>
      </c>
      <c r="L69">
        <v>1</v>
      </c>
      <c r="N69" s="33">
        <v>4</v>
      </c>
      <c r="T69">
        <f t="shared" si="5"/>
        <v>4</v>
      </c>
      <c r="W69"/>
    </row>
    <row r="70" spans="3:23" ht="15">
      <c r="C70">
        <v>5</v>
      </c>
      <c r="F70">
        <v>3</v>
      </c>
      <c r="I70">
        <f>F70*C70</f>
        <v>15</v>
      </c>
      <c r="L70">
        <v>1</v>
      </c>
      <c r="N70" s="33">
        <v>26</v>
      </c>
      <c r="T70">
        <f t="shared" si="5"/>
        <v>26</v>
      </c>
      <c r="W70"/>
    </row>
    <row r="71" spans="10:23" ht="15">
      <c r="J71" s="33">
        <f>SUM(I62:I70)</f>
        <v>1374</v>
      </c>
      <c r="N71" s="33"/>
      <c r="W71"/>
    </row>
    <row r="72" spans="12:23" ht="15">
      <c r="L72">
        <v>2</v>
      </c>
      <c r="N72" s="33">
        <v>14</v>
      </c>
      <c r="T72">
        <f t="shared" si="5"/>
        <v>28</v>
      </c>
      <c r="W72"/>
    </row>
    <row r="73" spans="14:23" ht="15">
      <c r="N73" s="33"/>
      <c r="U73" s="85">
        <f>SUM(T62:T72)</f>
        <v>202.5</v>
      </c>
      <c r="W73"/>
    </row>
    <row r="74" spans="14:23" ht="15">
      <c r="N74" s="33"/>
      <c r="W74"/>
    </row>
    <row r="75" spans="2:23" ht="15">
      <c r="B75" t="s">
        <v>70</v>
      </c>
      <c r="C75" t="s">
        <v>212</v>
      </c>
      <c r="F75" t="s">
        <v>216</v>
      </c>
      <c r="L75" t="s">
        <v>213</v>
      </c>
      <c r="N75" s="33" t="s">
        <v>217</v>
      </c>
      <c r="W75"/>
    </row>
    <row r="76" spans="3:23" ht="15">
      <c r="C76">
        <v>9</v>
      </c>
      <c r="F76">
        <v>15</v>
      </c>
      <c r="I76">
        <f aca="true" t="shared" si="6" ref="I76:I83">F76*C76</f>
        <v>135</v>
      </c>
      <c r="L76">
        <v>1</v>
      </c>
      <c r="N76" s="33">
        <v>40</v>
      </c>
      <c r="T76">
        <f aca="true" t="shared" si="7" ref="T76:T84">N76*L76</f>
        <v>40</v>
      </c>
      <c r="W76"/>
    </row>
    <row r="77" spans="3:30" ht="15">
      <c r="C77">
        <v>5</v>
      </c>
      <c r="F77">
        <v>40</v>
      </c>
      <c r="I77">
        <f t="shared" si="6"/>
        <v>200</v>
      </c>
      <c r="L77">
        <v>1</v>
      </c>
      <c r="N77" s="33">
        <v>16.75</v>
      </c>
      <c r="T77">
        <f t="shared" si="7"/>
        <v>16.75</v>
      </c>
      <c r="W77" s="29" t="s">
        <v>221</v>
      </c>
      <c r="X77" s="69"/>
      <c r="Y77" s="29"/>
      <c r="AD77" s="29"/>
    </row>
    <row r="78" spans="3:30" ht="15">
      <c r="C78">
        <v>25</v>
      </c>
      <c r="F78">
        <v>26</v>
      </c>
      <c r="I78">
        <f t="shared" si="6"/>
        <v>650</v>
      </c>
      <c r="L78">
        <v>1</v>
      </c>
      <c r="N78" s="33">
        <v>1</v>
      </c>
      <c r="T78">
        <f t="shared" si="7"/>
        <v>1</v>
      </c>
      <c r="W78" s="29" t="s">
        <v>222</v>
      </c>
      <c r="X78" s="69"/>
      <c r="Y78" s="29"/>
      <c r="AD78" s="29"/>
    </row>
    <row r="79" spans="3:23" ht="15">
      <c r="C79">
        <v>7</v>
      </c>
      <c r="F79">
        <v>25</v>
      </c>
      <c r="I79">
        <f t="shared" si="6"/>
        <v>175</v>
      </c>
      <c r="L79">
        <v>1</v>
      </c>
      <c r="N79" s="33">
        <v>8.75</v>
      </c>
      <c r="T79">
        <f t="shared" si="7"/>
        <v>8.75</v>
      </c>
      <c r="W79"/>
    </row>
    <row r="80" spans="3:23" ht="15">
      <c r="C80">
        <v>2</v>
      </c>
      <c r="F80">
        <v>26</v>
      </c>
      <c r="I80">
        <f t="shared" si="6"/>
        <v>52</v>
      </c>
      <c r="L80">
        <v>1</v>
      </c>
      <c r="N80" s="33">
        <v>6</v>
      </c>
      <c r="T80">
        <f t="shared" si="7"/>
        <v>6</v>
      </c>
      <c r="W80"/>
    </row>
    <row r="81" spans="3:23" ht="15">
      <c r="C81">
        <v>2</v>
      </c>
      <c r="F81">
        <v>41</v>
      </c>
      <c r="I81">
        <f t="shared" si="6"/>
        <v>82</v>
      </c>
      <c r="L81">
        <v>2</v>
      </c>
      <c r="N81" s="33">
        <v>20</v>
      </c>
      <c r="T81">
        <f t="shared" si="7"/>
        <v>40</v>
      </c>
      <c r="W81"/>
    </row>
    <row r="82" spans="3:23" ht="15">
      <c r="C82">
        <v>1</v>
      </c>
      <c r="F82">
        <v>40</v>
      </c>
      <c r="I82">
        <f t="shared" si="6"/>
        <v>40</v>
      </c>
      <c r="L82">
        <v>1</v>
      </c>
      <c r="N82" s="33">
        <v>32</v>
      </c>
      <c r="T82">
        <f t="shared" si="7"/>
        <v>32</v>
      </c>
      <c r="W82"/>
    </row>
    <row r="83" spans="3:23" ht="15">
      <c r="C83">
        <v>5</v>
      </c>
      <c r="F83">
        <v>6</v>
      </c>
      <c r="I83">
        <f t="shared" si="6"/>
        <v>30</v>
      </c>
      <c r="L83">
        <v>1</v>
      </c>
      <c r="N83" s="33">
        <v>4</v>
      </c>
      <c r="T83">
        <f t="shared" si="7"/>
        <v>4</v>
      </c>
      <c r="W83"/>
    </row>
    <row r="84" spans="3:23" ht="15">
      <c r="C84">
        <v>5</v>
      </c>
      <c r="F84">
        <v>3</v>
      </c>
      <c r="I84">
        <f>F84*C84</f>
        <v>15</v>
      </c>
      <c r="L84">
        <v>1</v>
      </c>
      <c r="N84" s="33">
        <v>26</v>
      </c>
      <c r="T84">
        <f t="shared" si="7"/>
        <v>26</v>
      </c>
      <c r="W84"/>
    </row>
    <row r="85" spans="14:23" ht="15">
      <c r="N85" s="33"/>
      <c r="W85"/>
    </row>
    <row r="86" spans="10:23" ht="15">
      <c r="J86" s="33">
        <f>SUM(I76:I84)</f>
        <v>1379</v>
      </c>
      <c r="L86">
        <v>2</v>
      </c>
      <c r="N86" s="33">
        <v>14</v>
      </c>
      <c r="T86">
        <f>N86*L86</f>
        <v>28</v>
      </c>
      <c r="W86"/>
    </row>
    <row r="87" spans="14:23" ht="15">
      <c r="N87" s="33"/>
      <c r="U87" s="85">
        <f>SUM(T76:T86)</f>
        <v>202.5</v>
      </c>
      <c r="W87"/>
    </row>
    <row r="88" spans="14:23" ht="15">
      <c r="N88" s="33"/>
      <c r="W88"/>
    </row>
    <row r="89" spans="2:23" ht="15">
      <c r="B89" t="s">
        <v>71</v>
      </c>
      <c r="C89" t="s">
        <v>212</v>
      </c>
      <c r="F89" t="s">
        <v>216</v>
      </c>
      <c r="L89" t="s">
        <v>213</v>
      </c>
      <c r="N89" s="42" t="s">
        <v>217</v>
      </c>
      <c r="W89"/>
    </row>
    <row r="90" spans="14:23" ht="15">
      <c r="N90" s="33"/>
      <c r="W90"/>
    </row>
    <row r="91" spans="3:23" ht="15">
      <c r="C91">
        <v>19</v>
      </c>
      <c r="F91">
        <v>24</v>
      </c>
      <c r="I91">
        <f>F91*C91</f>
        <v>456</v>
      </c>
      <c r="L91">
        <v>4</v>
      </c>
      <c r="N91" s="33">
        <v>24</v>
      </c>
      <c r="T91">
        <f>N91*L91</f>
        <v>96</v>
      </c>
      <c r="W91"/>
    </row>
    <row r="92" spans="10:23" ht="15">
      <c r="J92" s="33">
        <f>I91</f>
        <v>456</v>
      </c>
      <c r="N92" s="33"/>
      <c r="U92" s="85">
        <f>T91</f>
        <v>96</v>
      </c>
      <c r="W92"/>
    </row>
    <row r="93" spans="11:24" ht="15">
      <c r="K93" s="86">
        <f>SUM(J57:J92)</f>
        <v>3209</v>
      </c>
      <c r="N93" s="33"/>
      <c r="W93" s="5">
        <f>TRUNC(SUM(U57:U92),0)+1</f>
        <v>742</v>
      </c>
      <c r="X93" s="70">
        <f>W93*PRJ14</f>
        <v>1484</v>
      </c>
    </row>
    <row r="95" ht="15">
      <c r="Y95" s="61">
        <f>K93*PIJx14</f>
        <v>6418</v>
      </c>
    </row>
    <row r="101" spans="4:22" ht="51" customHeight="1">
      <c r="D101" t="s">
        <v>336</v>
      </c>
      <c r="E101" t="s">
        <v>337</v>
      </c>
      <c r="F101" t="s">
        <v>286</v>
      </c>
      <c r="G101" t="s">
        <v>285</v>
      </c>
      <c r="H101" t="s">
        <v>307</v>
      </c>
      <c r="I101" s="15" t="s">
        <v>287</v>
      </c>
      <c r="J101" s="33" t="s">
        <v>288</v>
      </c>
      <c r="K101" t="s">
        <v>303</v>
      </c>
      <c r="L101" t="s">
        <v>289</v>
      </c>
      <c r="M101" t="s">
        <v>299</v>
      </c>
      <c r="N101" t="s">
        <v>284</v>
      </c>
      <c r="Q101" s="33" t="s">
        <v>362</v>
      </c>
      <c r="R101" s="33" t="s">
        <v>363</v>
      </c>
      <c r="T101" s="15" t="s">
        <v>389</v>
      </c>
      <c r="U101" s="66" t="s">
        <v>388</v>
      </c>
      <c r="V101" s="101" t="s">
        <v>435</v>
      </c>
    </row>
    <row r="102" spans="1:20" ht="15">
      <c r="A102" t="s">
        <v>275</v>
      </c>
      <c r="D102">
        <v>8</v>
      </c>
      <c r="E102">
        <v>1</v>
      </c>
      <c r="F102">
        <v>8</v>
      </c>
      <c r="G102">
        <v>10</v>
      </c>
      <c r="H102">
        <v>12</v>
      </c>
      <c r="I102">
        <v>1</v>
      </c>
      <c r="J102" s="33">
        <v>1</v>
      </c>
      <c r="K102">
        <v>3</v>
      </c>
      <c r="L102">
        <v>3</v>
      </c>
      <c r="M102">
        <v>3</v>
      </c>
      <c r="N102">
        <v>3</v>
      </c>
      <c r="T102">
        <v>1</v>
      </c>
    </row>
    <row r="103" spans="2:14" ht="15">
      <c r="B103" t="s">
        <v>165</v>
      </c>
      <c r="F103">
        <v>2</v>
      </c>
      <c r="G103">
        <v>23</v>
      </c>
      <c r="I103">
        <v>114</v>
      </c>
      <c r="J103" s="33">
        <v>24</v>
      </c>
      <c r="N103">
        <v>5</v>
      </c>
    </row>
    <row r="104" spans="2:20" ht="15">
      <c r="B104" t="s">
        <v>276</v>
      </c>
      <c r="F104">
        <v>6</v>
      </c>
      <c r="G104">
        <v>23</v>
      </c>
      <c r="I104">
        <v>140</v>
      </c>
      <c r="J104" s="33">
        <v>45</v>
      </c>
      <c r="L104">
        <v>4</v>
      </c>
      <c r="T104">
        <v>11</v>
      </c>
    </row>
    <row r="105" spans="2:14" ht="15">
      <c r="B105" t="s">
        <v>164</v>
      </c>
      <c r="F105">
        <v>4</v>
      </c>
      <c r="G105">
        <v>22</v>
      </c>
      <c r="I105">
        <v>96</v>
      </c>
      <c r="J105" s="33">
        <v>30</v>
      </c>
      <c r="N105">
        <v>10</v>
      </c>
    </row>
    <row r="106" spans="2:20" ht="15">
      <c r="B106" t="s">
        <v>277</v>
      </c>
      <c r="F106">
        <v>24</v>
      </c>
      <c r="G106">
        <v>18</v>
      </c>
      <c r="I106">
        <v>114</v>
      </c>
      <c r="J106" s="33">
        <v>40</v>
      </c>
      <c r="L106">
        <v>11</v>
      </c>
      <c r="N106">
        <v>14</v>
      </c>
      <c r="T106">
        <v>13</v>
      </c>
    </row>
    <row r="107" spans="2:20" ht="15">
      <c r="B107" t="s">
        <v>278</v>
      </c>
      <c r="F107">
        <v>4</v>
      </c>
      <c r="G107">
        <v>24</v>
      </c>
      <c r="I107">
        <v>106</v>
      </c>
      <c r="J107" s="33">
        <v>8</v>
      </c>
      <c r="N107">
        <v>7</v>
      </c>
      <c r="T107">
        <v>10</v>
      </c>
    </row>
    <row r="108" spans="2:12" ht="15">
      <c r="B108" t="s">
        <v>279</v>
      </c>
      <c r="F108">
        <v>2</v>
      </c>
      <c r="G108">
        <v>13</v>
      </c>
      <c r="I108">
        <v>45</v>
      </c>
      <c r="J108" s="33">
        <v>4</v>
      </c>
      <c r="L108">
        <v>3</v>
      </c>
    </row>
    <row r="109" spans="2:9" ht="15">
      <c r="B109" t="s">
        <v>280</v>
      </c>
      <c r="G109">
        <v>18</v>
      </c>
      <c r="I109">
        <v>60</v>
      </c>
    </row>
    <row r="110" spans="2:14" ht="15">
      <c r="B110" t="s">
        <v>281</v>
      </c>
      <c r="F110">
        <v>4</v>
      </c>
      <c r="G110">
        <v>9</v>
      </c>
      <c r="I110">
        <v>50</v>
      </c>
      <c r="J110" s="33">
        <v>5</v>
      </c>
      <c r="N110">
        <v>7</v>
      </c>
    </row>
    <row r="111" spans="2:14" ht="15">
      <c r="B111" t="s">
        <v>282</v>
      </c>
      <c r="F111">
        <v>4</v>
      </c>
      <c r="G111">
        <v>10</v>
      </c>
      <c r="I111">
        <v>50</v>
      </c>
      <c r="J111" s="33">
        <v>5</v>
      </c>
      <c r="N111">
        <v>7</v>
      </c>
    </row>
    <row r="112" spans="2:12" ht="15">
      <c r="B112" t="s">
        <v>283</v>
      </c>
      <c r="F112">
        <v>2</v>
      </c>
      <c r="G112">
        <v>5</v>
      </c>
      <c r="I112">
        <v>24</v>
      </c>
      <c r="L112">
        <v>4</v>
      </c>
    </row>
    <row r="113" spans="2:22" ht="15.75" thickBot="1">
      <c r="B113" t="s">
        <v>434</v>
      </c>
      <c r="V113" s="96">
        <f>2*46+32+6+6+24</f>
        <v>160</v>
      </c>
    </row>
    <row r="114" spans="2:26" ht="15">
      <c r="B114" s="43" t="s">
        <v>290</v>
      </c>
      <c r="C114" s="44"/>
      <c r="D114" s="44"/>
      <c r="E114" s="44"/>
      <c r="F114" s="44">
        <f>SUM(F103:F113)</f>
        <v>52</v>
      </c>
      <c r="G114" s="44">
        <f>SUM(G103:G113)</f>
        <v>165</v>
      </c>
      <c r="H114" s="44"/>
      <c r="I114" s="44">
        <f aca="true" t="shared" si="8" ref="I114:N114">SUM(I103:I113)</f>
        <v>799</v>
      </c>
      <c r="J114" s="45">
        <f t="shared" si="8"/>
        <v>161</v>
      </c>
      <c r="K114" s="44">
        <f t="shared" si="8"/>
        <v>0</v>
      </c>
      <c r="L114" s="44">
        <f t="shared" si="8"/>
        <v>22</v>
      </c>
      <c r="M114" s="44">
        <f t="shared" si="8"/>
        <v>0</v>
      </c>
      <c r="N114" s="44">
        <f t="shared" si="8"/>
        <v>50</v>
      </c>
      <c r="O114" s="45"/>
      <c r="P114" s="89"/>
      <c r="Q114" s="45"/>
      <c r="R114" s="45"/>
      <c r="S114" s="44"/>
      <c r="T114" s="44">
        <f>SUM(T103:T113)</f>
        <v>34</v>
      </c>
      <c r="U114" s="89"/>
      <c r="V114" s="90"/>
      <c r="W114" s="49">
        <f aca="true" t="shared" si="9" ref="W114:W121">SUM(D114:U114)</f>
        <v>1283</v>
      </c>
      <c r="X114" s="71"/>
      <c r="Y114" s="44"/>
      <c r="Z114" s="46"/>
    </row>
    <row r="115" spans="2:26" ht="15">
      <c r="B115" s="47" t="s">
        <v>291</v>
      </c>
      <c r="C115" s="48">
        <v>4</v>
      </c>
      <c r="D115" s="48">
        <f>D113*D$102</f>
        <v>0</v>
      </c>
      <c r="E115" s="48">
        <f>E113*E$102</f>
        <v>0</v>
      </c>
      <c r="F115" s="48"/>
      <c r="G115" s="48"/>
      <c r="H115" s="48"/>
      <c r="I115" s="48"/>
      <c r="J115" s="49"/>
      <c r="K115" s="48"/>
      <c r="L115" s="48"/>
      <c r="M115" s="48"/>
      <c r="N115" s="48"/>
      <c r="O115" s="49"/>
      <c r="P115" s="90"/>
      <c r="Q115" s="49"/>
      <c r="R115" s="49"/>
      <c r="S115" s="48"/>
      <c r="T115" s="48"/>
      <c r="U115" s="90"/>
      <c r="V115" s="90"/>
      <c r="W115" s="49">
        <f t="shared" si="9"/>
        <v>0</v>
      </c>
      <c r="X115" s="72">
        <f>P2x4</f>
        <v>0.2975</v>
      </c>
      <c r="Y115" s="50">
        <f aca="true" t="shared" si="10" ref="Y115:Y121">X115*W115</f>
        <v>0</v>
      </c>
      <c r="Z115" s="51"/>
    </row>
    <row r="116" spans="2:26" ht="15">
      <c r="B116" s="47"/>
      <c r="C116" s="48">
        <v>6</v>
      </c>
      <c r="D116" s="48"/>
      <c r="E116" s="48"/>
      <c r="F116" s="48">
        <f>F114*F$102</f>
        <v>416</v>
      </c>
      <c r="G116" s="48">
        <f>G114*G$102</f>
        <v>1650</v>
      </c>
      <c r="H116" s="48"/>
      <c r="I116" s="48">
        <f>I114*I$102</f>
        <v>799</v>
      </c>
      <c r="J116" s="49">
        <f>J114*J$102</f>
        <v>161</v>
      </c>
      <c r="K116" s="48">
        <f>K114*K$102</f>
        <v>0</v>
      </c>
      <c r="L116" s="48"/>
      <c r="M116" s="48"/>
      <c r="N116" s="48"/>
      <c r="O116" s="49"/>
      <c r="P116" s="90"/>
      <c r="Q116" s="49"/>
      <c r="R116" s="49"/>
      <c r="S116" s="48"/>
      <c r="T116" s="48"/>
      <c r="U116" s="90"/>
      <c r="V116" s="90"/>
      <c r="W116" s="49">
        <f t="shared" si="9"/>
        <v>3026</v>
      </c>
      <c r="X116" s="72">
        <f>P2x6</f>
        <v>0.438</v>
      </c>
      <c r="Y116" s="50">
        <f t="shared" si="10"/>
        <v>1325.388</v>
      </c>
      <c r="Z116" s="52"/>
    </row>
    <row r="117" spans="2:26" ht="15">
      <c r="B117" s="47"/>
      <c r="C117" s="48">
        <v>8</v>
      </c>
      <c r="D117" s="48"/>
      <c r="E117" s="48"/>
      <c r="F117" s="48"/>
      <c r="G117" s="48"/>
      <c r="H117" s="48"/>
      <c r="I117" s="48"/>
      <c r="J117" s="49"/>
      <c r="K117" s="48"/>
      <c r="L117" s="48">
        <f>L114*L$102</f>
        <v>66</v>
      </c>
      <c r="M117" s="48"/>
      <c r="N117" s="48"/>
      <c r="O117" s="49"/>
      <c r="P117" s="90"/>
      <c r="Q117" s="49"/>
      <c r="R117" s="49"/>
      <c r="S117" s="48"/>
      <c r="T117" s="48"/>
      <c r="U117" s="90"/>
      <c r="V117" s="90"/>
      <c r="W117" s="49">
        <f t="shared" si="9"/>
        <v>66</v>
      </c>
      <c r="X117" s="72">
        <f>P2x8</f>
        <v>0.629</v>
      </c>
      <c r="Y117" s="50">
        <f t="shared" si="10"/>
        <v>41.514</v>
      </c>
      <c r="Z117" s="52"/>
    </row>
    <row r="118" spans="2:26" ht="15">
      <c r="B118" s="47"/>
      <c r="C118" s="48">
        <v>10</v>
      </c>
      <c r="D118" s="48"/>
      <c r="E118" s="48"/>
      <c r="F118" s="48"/>
      <c r="G118" s="48"/>
      <c r="H118" s="48"/>
      <c r="I118" s="48"/>
      <c r="J118" s="49"/>
      <c r="K118" s="48"/>
      <c r="L118" s="48"/>
      <c r="M118" s="48">
        <f>M114*M$102</f>
        <v>0</v>
      </c>
      <c r="N118" s="48"/>
      <c r="O118" s="49"/>
      <c r="P118" s="90"/>
      <c r="Q118" s="49"/>
      <c r="R118" s="49"/>
      <c r="S118" s="48"/>
      <c r="T118" s="48"/>
      <c r="U118" s="90"/>
      <c r="V118" s="90"/>
      <c r="W118" s="49">
        <f t="shared" si="9"/>
        <v>0</v>
      </c>
      <c r="X118" s="72">
        <f>P2x10</f>
        <v>0.778</v>
      </c>
      <c r="Y118" s="50">
        <f t="shared" si="10"/>
        <v>0</v>
      </c>
      <c r="Z118" s="52"/>
    </row>
    <row r="119" spans="2:26" ht="15">
      <c r="B119" s="47"/>
      <c r="C119" s="48">
        <v>12</v>
      </c>
      <c r="D119" s="48"/>
      <c r="E119" s="48"/>
      <c r="F119" s="48"/>
      <c r="G119" s="48"/>
      <c r="H119" s="48"/>
      <c r="I119" s="48"/>
      <c r="J119" s="49"/>
      <c r="K119" s="48"/>
      <c r="L119" s="48"/>
      <c r="M119" s="48"/>
      <c r="N119" s="48">
        <f>N114*N$102</f>
        <v>150</v>
      </c>
      <c r="O119" s="49"/>
      <c r="P119" s="90"/>
      <c r="Q119" s="49"/>
      <c r="R119" s="49"/>
      <c r="S119" s="48"/>
      <c r="T119" s="48"/>
      <c r="U119" s="90"/>
      <c r="V119" s="90"/>
      <c r="W119" s="49">
        <f t="shared" si="9"/>
        <v>150</v>
      </c>
      <c r="X119" s="72">
        <f>P2x12</f>
        <v>0.9983333333333334</v>
      </c>
      <c r="Y119" s="50">
        <f t="shared" si="10"/>
        <v>149.75</v>
      </c>
      <c r="Z119" s="52"/>
    </row>
    <row r="120" spans="2:26" ht="15">
      <c r="B120" s="47"/>
      <c r="C120" s="48" t="s">
        <v>390</v>
      </c>
      <c r="D120" s="48"/>
      <c r="E120" s="48"/>
      <c r="F120" s="48"/>
      <c r="G120" s="48"/>
      <c r="H120" s="48"/>
      <c r="I120" s="48"/>
      <c r="J120" s="49"/>
      <c r="K120" s="48"/>
      <c r="L120" s="48"/>
      <c r="M120" s="48"/>
      <c r="N120" s="48"/>
      <c r="O120" s="49"/>
      <c r="P120" s="90"/>
      <c r="Q120" s="49"/>
      <c r="R120" s="49"/>
      <c r="S120" s="48"/>
      <c r="T120" s="48">
        <f>T114*T$102</f>
        <v>34</v>
      </c>
      <c r="U120" s="90"/>
      <c r="V120" s="90"/>
      <c r="W120" s="49">
        <f t="shared" si="9"/>
        <v>34</v>
      </c>
      <c r="X120" s="68">
        <f>Para5x11</f>
        <v>14</v>
      </c>
      <c r="Y120" s="50">
        <f t="shared" si="10"/>
        <v>476</v>
      </c>
      <c r="Z120" s="52"/>
    </row>
    <row r="121" spans="2:26" ht="15">
      <c r="B121" s="47"/>
      <c r="C121" s="48" t="s">
        <v>391</v>
      </c>
      <c r="D121" s="48"/>
      <c r="E121" s="48"/>
      <c r="F121" s="48"/>
      <c r="G121" s="48"/>
      <c r="H121" s="48"/>
      <c r="I121" s="48"/>
      <c r="J121" s="49"/>
      <c r="K121" s="48"/>
      <c r="L121" s="48"/>
      <c r="M121" s="48"/>
      <c r="N121" s="48"/>
      <c r="O121" s="49"/>
      <c r="P121" s="90"/>
      <c r="Q121" s="49"/>
      <c r="R121" s="49"/>
      <c r="S121" s="48"/>
      <c r="T121" s="48"/>
      <c r="U121" s="90"/>
      <c r="V121" s="90"/>
      <c r="W121" s="49">
        <f t="shared" si="9"/>
        <v>0</v>
      </c>
      <c r="X121" s="72">
        <f>Para5x16</f>
        <v>19</v>
      </c>
      <c r="Y121" s="50">
        <f t="shared" si="10"/>
        <v>0</v>
      </c>
      <c r="Z121" s="52"/>
    </row>
    <row r="122" spans="2:26" ht="15.75" thickBot="1">
      <c r="B122" s="47"/>
      <c r="C122" s="48" t="s">
        <v>434</v>
      </c>
      <c r="D122" s="48"/>
      <c r="E122" s="48"/>
      <c r="F122" s="48"/>
      <c r="G122" s="48"/>
      <c r="H122" s="48"/>
      <c r="I122" s="48"/>
      <c r="J122" s="90"/>
      <c r="K122" s="48"/>
      <c r="L122" s="48"/>
      <c r="M122" s="48"/>
      <c r="N122" s="48"/>
      <c r="O122" s="90"/>
      <c r="P122" s="90"/>
      <c r="Q122" s="90"/>
      <c r="R122" s="90"/>
      <c r="S122" s="48"/>
      <c r="T122" s="48"/>
      <c r="U122" s="90"/>
      <c r="V122" s="90">
        <f>V113</f>
        <v>160</v>
      </c>
      <c r="W122" s="90"/>
      <c r="X122" s="73">
        <f>PT2x8Sill</f>
        <v>0.8</v>
      </c>
      <c r="Y122" s="50">
        <f>X122*V122</f>
        <v>128</v>
      </c>
      <c r="Z122" s="52"/>
    </row>
    <row r="123" spans="2:26" ht="15.75" thickBot="1">
      <c r="B123" s="53"/>
      <c r="C123" s="54"/>
      <c r="D123" s="54"/>
      <c r="E123" s="54"/>
      <c r="F123" s="54"/>
      <c r="G123" s="54"/>
      <c r="H123" s="54"/>
      <c r="I123" s="54"/>
      <c r="J123" s="55"/>
      <c r="K123" s="54"/>
      <c r="L123" s="54"/>
      <c r="M123" s="54"/>
      <c r="N123" s="54"/>
      <c r="O123" s="55"/>
      <c r="P123" s="91"/>
      <c r="Q123" s="55"/>
      <c r="R123" s="55"/>
      <c r="S123" s="54"/>
      <c r="T123" s="54"/>
      <c r="U123" s="91"/>
      <c r="V123" s="91"/>
      <c r="W123" s="55"/>
      <c r="Y123" s="56"/>
      <c r="Z123" s="57">
        <f>SUM(Y115:Y122)</f>
        <v>2120.652</v>
      </c>
    </row>
    <row r="124" spans="25:26" ht="15">
      <c r="Y124" s="27"/>
      <c r="Z124" s="27"/>
    </row>
    <row r="125" ht="15">
      <c r="A125" t="s">
        <v>296</v>
      </c>
    </row>
    <row r="126" spans="2:26" ht="15">
      <c r="B126" t="s">
        <v>165</v>
      </c>
      <c r="F126">
        <v>30</v>
      </c>
      <c r="I126">
        <f>32*3</f>
        <v>96</v>
      </c>
      <c r="J126" s="33">
        <f>10+8*2.25+5</f>
        <v>33</v>
      </c>
      <c r="L126">
        <v>10</v>
      </c>
      <c r="Z126" t="s">
        <v>292</v>
      </c>
    </row>
    <row r="127" spans="2:24" s="26" customFormat="1" ht="15">
      <c r="B127" s="26" t="s">
        <v>276</v>
      </c>
      <c r="F127" s="26">
        <v>41</v>
      </c>
      <c r="I127" s="26">
        <f>46*3</f>
        <v>138</v>
      </c>
      <c r="J127" s="36">
        <f>18*4</f>
        <v>72</v>
      </c>
      <c r="L127" s="26">
        <v>20</v>
      </c>
      <c r="O127" s="36"/>
      <c r="P127" s="92"/>
      <c r="Q127" s="36"/>
      <c r="R127" s="36"/>
      <c r="U127" s="92"/>
      <c r="V127" s="92"/>
      <c r="W127" s="36"/>
      <c r="X127" s="74"/>
    </row>
    <row r="128" spans="2:24" s="26" customFormat="1" ht="15">
      <c r="B128" s="26" t="s">
        <v>164</v>
      </c>
      <c r="F128" s="26">
        <v>28</v>
      </c>
      <c r="I128" s="26">
        <f>40*3</f>
        <v>120</v>
      </c>
      <c r="J128" s="36">
        <v>24</v>
      </c>
      <c r="L128" s="26">
        <v>10</v>
      </c>
      <c r="O128" s="36"/>
      <c r="P128" s="92"/>
      <c r="Q128" s="36"/>
      <c r="R128" s="36"/>
      <c r="U128" s="92"/>
      <c r="V128" s="92"/>
      <c r="W128" s="36"/>
      <c r="X128" s="74"/>
    </row>
    <row r="129" spans="2:24" s="26" customFormat="1" ht="15">
      <c r="B129" s="26" t="s">
        <v>277</v>
      </c>
      <c r="F129" s="26">
        <v>40</v>
      </c>
      <c r="I129" s="26">
        <f>46+46+40</f>
        <v>132</v>
      </c>
      <c r="J129" s="36">
        <v>70</v>
      </c>
      <c r="L129" s="26">
        <v>10</v>
      </c>
      <c r="M129" s="26">
        <v>18</v>
      </c>
      <c r="O129" s="36"/>
      <c r="P129" s="92"/>
      <c r="Q129" s="36"/>
      <c r="R129" s="36"/>
      <c r="U129" s="92"/>
      <c r="V129" s="92"/>
      <c r="W129" s="36"/>
      <c r="X129" s="74"/>
    </row>
    <row r="130" spans="2:24" s="26" customFormat="1" ht="15">
      <c r="B130" s="26" t="s">
        <v>278</v>
      </c>
      <c r="F130" s="26">
        <v>35</v>
      </c>
      <c r="I130" s="26">
        <v>117</v>
      </c>
      <c r="J130" s="36"/>
      <c r="N130" s="26">
        <v>7</v>
      </c>
      <c r="O130" s="36"/>
      <c r="P130" s="92"/>
      <c r="Q130" s="36"/>
      <c r="R130" s="36"/>
      <c r="U130" s="92"/>
      <c r="V130" s="92"/>
      <c r="W130" s="36"/>
      <c r="X130" s="74"/>
    </row>
    <row r="131" spans="2:24" s="26" customFormat="1" ht="15">
      <c r="B131" s="26" t="s">
        <v>279</v>
      </c>
      <c r="F131" s="26">
        <v>17</v>
      </c>
      <c r="I131" s="26">
        <v>50</v>
      </c>
      <c r="J131" s="36"/>
      <c r="N131" s="26">
        <v>6</v>
      </c>
      <c r="O131" s="36"/>
      <c r="P131" s="92"/>
      <c r="Q131" s="36"/>
      <c r="R131" s="36"/>
      <c r="U131" s="92"/>
      <c r="V131" s="92"/>
      <c r="W131" s="36"/>
      <c r="X131" s="74"/>
    </row>
    <row r="132" spans="2:24" s="26" customFormat="1" ht="15">
      <c r="B132" s="26" t="s">
        <v>280</v>
      </c>
      <c r="F132" s="26">
        <v>16</v>
      </c>
      <c r="I132" s="26">
        <v>60</v>
      </c>
      <c r="J132" s="36"/>
      <c r="O132" s="36"/>
      <c r="P132" s="92"/>
      <c r="Q132" s="36"/>
      <c r="R132" s="36"/>
      <c r="U132" s="92"/>
      <c r="V132" s="92"/>
      <c r="W132" s="36"/>
      <c r="X132" s="74"/>
    </row>
    <row r="133" spans="2:24" s="26" customFormat="1" ht="15">
      <c r="B133" s="26" t="s">
        <v>304</v>
      </c>
      <c r="F133" s="26">
        <v>32</v>
      </c>
      <c r="I133" s="26">
        <v>106</v>
      </c>
      <c r="J133" s="36"/>
      <c r="K133" s="26">
        <v>16</v>
      </c>
      <c r="O133" s="36"/>
      <c r="P133" s="92"/>
      <c r="Q133" s="36"/>
      <c r="R133" s="36"/>
      <c r="U133" s="92"/>
      <c r="V133" s="92"/>
      <c r="W133" s="36"/>
      <c r="X133" s="74"/>
    </row>
    <row r="134" spans="2:24" s="26" customFormat="1" ht="15">
      <c r="B134" s="26" t="s">
        <v>302</v>
      </c>
      <c r="F134" s="26">
        <v>9</v>
      </c>
      <c r="I134" s="26">
        <f>8*3-3</f>
        <v>21</v>
      </c>
      <c r="J134" s="36"/>
      <c r="K134" s="26">
        <v>3.2</v>
      </c>
      <c r="O134" s="36"/>
      <c r="P134" s="92"/>
      <c r="Q134" s="36"/>
      <c r="R134" s="36"/>
      <c r="U134" s="92"/>
      <c r="V134" s="92"/>
      <c r="W134" s="36"/>
      <c r="X134" s="74"/>
    </row>
    <row r="135" spans="2:11" ht="15">
      <c r="B135" t="s">
        <v>297</v>
      </c>
      <c r="F135">
        <v>8</v>
      </c>
      <c r="I135">
        <f>8*3-3</f>
        <v>21</v>
      </c>
      <c r="K135">
        <v>3.2</v>
      </c>
    </row>
    <row r="136" spans="2:9" ht="15">
      <c r="B136" t="s">
        <v>301</v>
      </c>
      <c r="F136">
        <v>7</v>
      </c>
      <c r="I136">
        <f>8*3</f>
        <v>24</v>
      </c>
    </row>
    <row r="137" ht="15">
      <c r="B137" t="s">
        <v>298</v>
      </c>
    </row>
    <row r="138" spans="2:11" ht="15">
      <c r="B138" t="s">
        <v>300</v>
      </c>
      <c r="F138">
        <v>8</v>
      </c>
      <c r="I138">
        <v>13</v>
      </c>
      <c r="J138" s="33">
        <v>3</v>
      </c>
      <c r="K138">
        <v>4</v>
      </c>
    </row>
    <row r="139" spans="2:24" s="1" customFormat="1" ht="15">
      <c r="B139" s="1" t="s">
        <v>310</v>
      </c>
      <c r="J139" s="35">
        <f>32*(10/12*16/2)*(12/16)+32*SQRT(10^2+12^2)/12</f>
        <v>201.65466493816882</v>
      </c>
      <c r="O139" s="35"/>
      <c r="P139" s="88"/>
      <c r="Q139" s="35"/>
      <c r="R139" s="35"/>
      <c r="U139" s="88"/>
      <c r="V139" s="88"/>
      <c r="W139" s="35"/>
      <c r="X139" s="67"/>
    </row>
    <row r="140" ht="15.75" thickBot="1"/>
    <row r="141" spans="2:26" ht="15">
      <c r="B141" s="43" t="s">
        <v>290</v>
      </c>
      <c r="C141" s="44"/>
      <c r="D141" s="44"/>
      <c r="E141" s="44"/>
      <c r="F141" s="44">
        <f>SUM(F126:F139)</f>
        <v>271</v>
      </c>
      <c r="G141" s="44">
        <f>SUM(G126:G139)</f>
        <v>0</v>
      </c>
      <c r="H141" s="44"/>
      <c r="I141" s="44">
        <f aca="true" t="shared" si="11" ref="I141:N141">SUM(I126:I139)</f>
        <v>898</v>
      </c>
      <c r="J141" s="45">
        <f t="shared" si="11"/>
        <v>403.6546649381688</v>
      </c>
      <c r="K141" s="44">
        <f t="shared" si="11"/>
        <v>26.4</v>
      </c>
      <c r="L141" s="44">
        <f t="shared" si="11"/>
        <v>50</v>
      </c>
      <c r="M141" s="44">
        <f t="shared" si="11"/>
        <v>18</v>
      </c>
      <c r="N141" s="44">
        <f t="shared" si="11"/>
        <v>13</v>
      </c>
      <c r="O141" s="45"/>
      <c r="P141" s="89"/>
      <c r="Q141" s="45"/>
      <c r="R141" s="45"/>
      <c r="S141" s="44"/>
      <c r="T141" s="44">
        <f>SUM(T126:T139)</f>
        <v>0</v>
      </c>
      <c r="U141" s="89"/>
      <c r="V141" s="89"/>
      <c r="W141" s="45"/>
      <c r="X141" s="71"/>
      <c r="Y141" s="44"/>
      <c r="Z141" s="46"/>
    </row>
    <row r="142" spans="2:26" ht="15">
      <c r="B142" s="47" t="s">
        <v>291</v>
      </c>
      <c r="C142" s="48">
        <v>4</v>
      </c>
      <c r="D142" s="48">
        <f>D140*D$102</f>
        <v>0</v>
      </c>
      <c r="E142" s="48">
        <f>E140*E$102</f>
        <v>0</v>
      </c>
      <c r="F142" s="48"/>
      <c r="G142" s="48"/>
      <c r="H142" s="48"/>
      <c r="I142" s="48"/>
      <c r="J142" s="49"/>
      <c r="K142" s="48"/>
      <c r="L142" s="48"/>
      <c r="M142" s="48"/>
      <c r="N142" s="48"/>
      <c r="O142" s="49"/>
      <c r="P142" s="90"/>
      <c r="Q142" s="49"/>
      <c r="R142" s="49"/>
      <c r="S142" s="48"/>
      <c r="T142" s="48"/>
      <c r="U142" s="90"/>
      <c r="V142" s="90"/>
      <c r="W142" s="49">
        <f aca="true" t="shared" si="12" ref="W142:W147">SUM(D142:T142)</f>
        <v>0</v>
      </c>
      <c r="X142" s="72">
        <f>P2x4</f>
        <v>0.2975</v>
      </c>
      <c r="Y142" s="50">
        <f aca="true" t="shared" si="13" ref="Y142:Y147">X142*W142</f>
        <v>0</v>
      </c>
      <c r="Z142" s="51"/>
    </row>
    <row r="143" spans="2:26" ht="15">
      <c r="B143" s="47"/>
      <c r="C143" s="48">
        <v>6</v>
      </c>
      <c r="D143" s="48"/>
      <c r="E143" s="48"/>
      <c r="F143" s="48">
        <f>F141*F$102</f>
        <v>2168</v>
      </c>
      <c r="G143" s="48">
        <f>G141*G$102</f>
        <v>0</v>
      </c>
      <c r="H143" s="48"/>
      <c r="I143" s="48">
        <f>I141*I$102</f>
        <v>898</v>
      </c>
      <c r="J143" s="49">
        <f>J141*J$102</f>
        <v>403.6546649381688</v>
      </c>
      <c r="K143" s="48">
        <f>K141*K$102</f>
        <v>79.19999999999999</v>
      </c>
      <c r="L143" s="48"/>
      <c r="M143" s="48"/>
      <c r="N143" s="48"/>
      <c r="O143" s="49"/>
      <c r="P143" s="90"/>
      <c r="Q143" s="49"/>
      <c r="R143" s="49"/>
      <c r="S143" s="48"/>
      <c r="T143" s="48"/>
      <c r="U143" s="90"/>
      <c r="V143" s="90"/>
      <c r="W143" s="49">
        <f t="shared" si="12"/>
        <v>3548.8546649381688</v>
      </c>
      <c r="X143" s="72">
        <f>P2x6</f>
        <v>0.438</v>
      </c>
      <c r="Y143" s="50">
        <f t="shared" si="13"/>
        <v>1554.398343242918</v>
      </c>
      <c r="Z143" s="52"/>
    </row>
    <row r="144" spans="2:26" ht="15">
      <c r="B144" s="47"/>
      <c r="C144" s="48">
        <v>8</v>
      </c>
      <c r="D144" s="48"/>
      <c r="E144" s="48"/>
      <c r="F144" s="48"/>
      <c r="G144" s="48"/>
      <c r="H144" s="48"/>
      <c r="I144" s="48"/>
      <c r="J144" s="49"/>
      <c r="K144" s="48"/>
      <c r="L144" s="48">
        <f>L141*L$102</f>
        <v>150</v>
      </c>
      <c r="M144" s="48"/>
      <c r="N144" s="48"/>
      <c r="O144" s="49"/>
      <c r="P144" s="90"/>
      <c r="Q144" s="49"/>
      <c r="R144" s="49"/>
      <c r="S144" s="48"/>
      <c r="T144" s="48"/>
      <c r="U144" s="90"/>
      <c r="V144" s="90"/>
      <c r="W144" s="49">
        <f t="shared" si="12"/>
        <v>150</v>
      </c>
      <c r="X144" s="72">
        <f>P2x8</f>
        <v>0.629</v>
      </c>
      <c r="Y144" s="50">
        <f t="shared" si="13"/>
        <v>94.35</v>
      </c>
      <c r="Z144" s="52"/>
    </row>
    <row r="145" spans="2:26" ht="15">
      <c r="B145" s="47"/>
      <c r="C145" s="48">
        <v>10</v>
      </c>
      <c r="D145" s="48"/>
      <c r="E145" s="48"/>
      <c r="F145" s="48"/>
      <c r="G145" s="48"/>
      <c r="H145" s="48"/>
      <c r="I145" s="48"/>
      <c r="J145" s="49"/>
      <c r="K145" s="48"/>
      <c r="L145" s="48"/>
      <c r="M145" s="48">
        <f>M141*M$102</f>
        <v>54</v>
      </c>
      <c r="N145" s="48"/>
      <c r="O145" s="49"/>
      <c r="P145" s="90"/>
      <c r="Q145" s="49"/>
      <c r="R145" s="49"/>
      <c r="S145" s="48"/>
      <c r="T145" s="48"/>
      <c r="U145" s="90"/>
      <c r="V145" s="90"/>
      <c r="W145" s="49">
        <f t="shared" si="12"/>
        <v>54</v>
      </c>
      <c r="X145" s="72">
        <f>P2x10</f>
        <v>0.778</v>
      </c>
      <c r="Y145" s="50">
        <f t="shared" si="13"/>
        <v>42.012</v>
      </c>
      <c r="Z145" s="52"/>
    </row>
    <row r="146" spans="2:26" ht="15">
      <c r="B146" s="47"/>
      <c r="C146" s="48">
        <v>12</v>
      </c>
      <c r="D146" s="48"/>
      <c r="E146" s="48"/>
      <c r="F146" s="48"/>
      <c r="G146" s="48"/>
      <c r="H146" s="48"/>
      <c r="I146" s="48"/>
      <c r="J146" s="49"/>
      <c r="K146" s="48"/>
      <c r="L146" s="48"/>
      <c r="M146" s="48"/>
      <c r="N146" s="48">
        <f>N141*N$102</f>
        <v>39</v>
      </c>
      <c r="O146" s="49"/>
      <c r="P146" s="90"/>
      <c r="Q146" s="49"/>
      <c r="R146" s="49"/>
      <c r="S146" s="48"/>
      <c r="T146" s="48"/>
      <c r="U146" s="90"/>
      <c r="V146" s="90"/>
      <c r="W146" s="49">
        <f t="shared" si="12"/>
        <v>39</v>
      </c>
      <c r="X146" s="72">
        <f>P2x12</f>
        <v>0.9983333333333334</v>
      </c>
      <c r="Y146" s="50">
        <f t="shared" si="13"/>
        <v>38.935</v>
      </c>
      <c r="Z146" s="52"/>
    </row>
    <row r="147" spans="2:26" ht="15">
      <c r="B147" s="47"/>
      <c r="C147" s="48" t="s">
        <v>390</v>
      </c>
      <c r="D147" s="48"/>
      <c r="E147" s="48"/>
      <c r="F147" s="48"/>
      <c r="G147" s="48"/>
      <c r="H147" s="48"/>
      <c r="I147" s="48"/>
      <c r="J147" s="49"/>
      <c r="K147" s="48"/>
      <c r="L147" s="48"/>
      <c r="M147" s="48"/>
      <c r="N147" s="48"/>
      <c r="O147" s="49"/>
      <c r="P147" s="90"/>
      <c r="Q147" s="49"/>
      <c r="R147" s="49"/>
      <c r="S147" s="48"/>
      <c r="T147" s="48">
        <f>T141*T$102</f>
        <v>0</v>
      </c>
      <c r="U147" s="90"/>
      <c r="V147" s="90"/>
      <c r="W147" s="49">
        <f t="shared" si="12"/>
        <v>0</v>
      </c>
      <c r="X147" s="68">
        <f>Para5x11</f>
        <v>14</v>
      </c>
      <c r="Y147" s="50">
        <f t="shared" si="13"/>
        <v>0</v>
      </c>
      <c r="Z147" s="52"/>
    </row>
    <row r="148" spans="2:26" ht="15.75" thickBot="1">
      <c r="B148" s="53"/>
      <c r="C148" s="48" t="s">
        <v>391</v>
      </c>
      <c r="D148" s="54"/>
      <c r="E148" s="54"/>
      <c r="F148" s="54"/>
      <c r="G148" s="54"/>
      <c r="H148" s="54"/>
      <c r="I148" s="54"/>
      <c r="J148" s="55"/>
      <c r="K148" s="54"/>
      <c r="L148" s="54"/>
      <c r="M148" s="54"/>
      <c r="N148" s="54"/>
      <c r="O148" s="55"/>
      <c r="P148" s="91"/>
      <c r="Q148" s="55"/>
      <c r="R148" s="55"/>
      <c r="S148" s="54"/>
      <c r="T148" s="54"/>
      <c r="U148" s="91"/>
      <c r="V148" s="91"/>
      <c r="W148" s="55"/>
      <c r="X148" s="72">
        <f>Para5x16</f>
        <v>19</v>
      </c>
      <c r="Y148" s="56"/>
      <c r="Z148" s="57">
        <f>SUM(Y142:Y147)</f>
        <v>1729.6953432429177</v>
      </c>
    </row>
    <row r="150" ht="15">
      <c r="A150" t="s">
        <v>273</v>
      </c>
    </row>
    <row r="151" spans="2:12" ht="15">
      <c r="B151" t="s">
        <v>277</v>
      </c>
      <c r="F151">
        <v>19</v>
      </c>
      <c r="I151">
        <v>75</v>
      </c>
      <c r="J151" s="33">
        <v>50</v>
      </c>
      <c r="L151">
        <v>22</v>
      </c>
    </row>
    <row r="152" spans="2:9" ht="15">
      <c r="B152" t="s">
        <v>164</v>
      </c>
      <c r="F152">
        <v>24</v>
      </c>
      <c r="I152">
        <v>90</v>
      </c>
    </row>
    <row r="153" spans="2:9" ht="15">
      <c r="B153" t="s">
        <v>306</v>
      </c>
      <c r="F153">
        <v>21</v>
      </c>
      <c r="I153">
        <v>75</v>
      </c>
    </row>
    <row r="154" spans="2:12" ht="15">
      <c r="B154" t="s">
        <v>165</v>
      </c>
      <c r="F154">
        <v>23</v>
      </c>
      <c r="I154">
        <v>75</v>
      </c>
      <c r="J154" s="33">
        <v>13</v>
      </c>
      <c r="L154">
        <v>6</v>
      </c>
    </row>
    <row r="155" spans="2:24" s="1" customFormat="1" ht="15">
      <c r="B155" s="1" t="s">
        <v>309</v>
      </c>
      <c r="J155" s="35">
        <f>(20^2*4/12/2)+(20^2*10/12/2-6*8)*2*12/16+SQRT(10^2+12^2)/12*40</f>
        <v>296.7349978393777</v>
      </c>
      <c r="O155" s="35"/>
      <c r="P155" s="88"/>
      <c r="Q155" s="35"/>
      <c r="R155" s="35"/>
      <c r="U155" s="88"/>
      <c r="V155" s="88"/>
      <c r="W155" s="35"/>
      <c r="X155" s="67"/>
    </row>
    <row r="156" ht="15.75" thickBot="1"/>
    <row r="157" spans="2:26" ht="15">
      <c r="B157" s="43" t="s">
        <v>290</v>
      </c>
      <c r="C157" s="44"/>
      <c r="D157" s="44">
        <f aca="true" t="shared" si="14" ref="D157:N157">SUM(D151:D155)</f>
        <v>0</v>
      </c>
      <c r="E157" s="44">
        <f t="shared" si="14"/>
        <v>0</v>
      </c>
      <c r="F157" s="44">
        <f t="shared" si="14"/>
        <v>87</v>
      </c>
      <c r="G157" s="44">
        <f t="shared" si="14"/>
        <v>0</v>
      </c>
      <c r="H157" s="44">
        <f t="shared" si="14"/>
        <v>0</v>
      </c>
      <c r="I157" s="44">
        <f t="shared" si="14"/>
        <v>315</v>
      </c>
      <c r="J157" s="45">
        <f t="shared" si="14"/>
        <v>359.7349978393777</v>
      </c>
      <c r="K157" s="44">
        <f t="shared" si="14"/>
        <v>0</v>
      </c>
      <c r="L157" s="44">
        <f t="shared" si="14"/>
        <v>28</v>
      </c>
      <c r="M157" s="44">
        <f t="shared" si="14"/>
        <v>0</v>
      </c>
      <c r="N157" s="44">
        <f t="shared" si="14"/>
        <v>0</v>
      </c>
      <c r="O157" s="45"/>
      <c r="P157" s="89"/>
      <c r="Q157" s="44">
        <f>SUM(Q151:Q155)</f>
        <v>0</v>
      </c>
      <c r="R157" s="44">
        <f>SUM(R151:R155)</f>
        <v>0</v>
      </c>
      <c r="S157" s="44"/>
      <c r="T157" s="44">
        <f>SUM(T151:T155)</f>
        <v>0</v>
      </c>
      <c r="U157" s="89"/>
      <c r="V157" s="89"/>
      <c r="W157" s="45"/>
      <c r="X157" s="71"/>
      <c r="Y157" s="44"/>
      <c r="Z157" s="46"/>
    </row>
    <row r="158" spans="2:26" ht="15">
      <c r="B158" s="47" t="s">
        <v>291</v>
      </c>
      <c r="C158" s="48">
        <v>4</v>
      </c>
      <c r="D158" s="48">
        <f>D156*D$102</f>
        <v>0</v>
      </c>
      <c r="E158" s="48">
        <f>E156*E$102</f>
        <v>0</v>
      </c>
      <c r="F158" s="48"/>
      <c r="G158" s="48"/>
      <c r="H158" s="48"/>
      <c r="I158" s="48"/>
      <c r="J158" s="49"/>
      <c r="K158" s="48"/>
      <c r="L158" s="48"/>
      <c r="M158" s="48"/>
      <c r="N158" s="48"/>
      <c r="O158" s="49"/>
      <c r="P158" s="90"/>
      <c r="Q158" s="49"/>
      <c r="R158" s="49"/>
      <c r="S158" s="48"/>
      <c r="T158" s="48"/>
      <c r="U158" s="90"/>
      <c r="V158" s="90"/>
      <c r="W158" s="49">
        <f aca="true" t="shared" si="15" ref="W158:W163">SUM(D158:T158)</f>
        <v>0</v>
      </c>
      <c r="X158" s="72">
        <f>P2x4</f>
        <v>0.2975</v>
      </c>
      <c r="Y158" s="50">
        <f aca="true" t="shared" si="16" ref="Y158:Y164">X158*W158</f>
        <v>0</v>
      </c>
      <c r="Z158" s="51"/>
    </row>
    <row r="159" spans="2:26" ht="15">
      <c r="B159" s="47"/>
      <c r="C159" s="48">
        <v>6</v>
      </c>
      <c r="D159" s="48"/>
      <c r="E159" s="48"/>
      <c r="F159" s="48">
        <f>F157*F$102</f>
        <v>696</v>
      </c>
      <c r="G159" s="48">
        <f>G157*G$102</f>
        <v>0</v>
      </c>
      <c r="H159" s="48"/>
      <c r="I159" s="48">
        <f>I157*I$102</f>
        <v>315</v>
      </c>
      <c r="J159" s="49">
        <f>J157*J$102</f>
        <v>359.7349978393777</v>
      </c>
      <c r="K159" s="48">
        <f>K157*K$102</f>
        <v>0</v>
      </c>
      <c r="L159" s="48"/>
      <c r="M159" s="48"/>
      <c r="N159" s="48"/>
      <c r="O159" s="49"/>
      <c r="P159" s="90"/>
      <c r="Q159" s="49"/>
      <c r="R159" s="49"/>
      <c r="S159" s="48"/>
      <c r="T159" s="48"/>
      <c r="U159" s="90"/>
      <c r="V159" s="90"/>
      <c r="W159" s="49">
        <f t="shared" si="15"/>
        <v>1370.7349978393777</v>
      </c>
      <c r="X159" s="72">
        <f>P2x6</f>
        <v>0.438</v>
      </c>
      <c r="Y159" s="50">
        <f t="shared" si="16"/>
        <v>600.3819290536475</v>
      </c>
      <c r="Z159" s="52"/>
    </row>
    <row r="160" spans="2:26" ht="15">
      <c r="B160" s="47"/>
      <c r="C160" s="48">
        <v>8</v>
      </c>
      <c r="D160" s="48"/>
      <c r="E160" s="48"/>
      <c r="F160" s="48"/>
      <c r="G160" s="48"/>
      <c r="H160" s="48"/>
      <c r="I160" s="48"/>
      <c r="J160" s="49"/>
      <c r="K160" s="48"/>
      <c r="L160" s="48">
        <f>L157*L$102</f>
        <v>84</v>
      </c>
      <c r="M160" s="48"/>
      <c r="N160" s="48"/>
      <c r="O160" s="49"/>
      <c r="P160" s="90"/>
      <c r="Q160" s="49">
        <f>Q157</f>
        <v>0</v>
      </c>
      <c r="R160" s="49"/>
      <c r="S160" s="48"/>
      <c r="T160" s="48"/>
      <c r="U160" s="90"/>
      <c r="V160" s="90"/>
      <c r="W160" s="49">
        <f t="shared" si="15"/>
        <v>84</v>
      </c>
      <c r="X160" s="72">
        <f>P2x8</f>
        <v>0.629</v>
      </c>
      <c r="Y160" s="50">
        <f t="shared" si="16"/>
        <v>52.836</v>
      </c>
      <c r="Z160" s="52"/>
    </row>
    <row r="161" spans="2:26" ht="15">
      <c r="B161" s="47"/>
      <c r="C161" s="48">
        <v>10</v>
      </c>
      <c r="D161" s="48"/>
      <c r="E161" s="48"/>
      <c r="F161" s="48"/>
      <c r="G161" s="48"/>
      <c r="H161" s="48"/>
      <c r="I161" s="48"/>
      <c r="J161" s="49"/>
      <c r="K161" s="48"/>
      <c r="L161" s="48"/>
      <c r="M161" s="48">
        <f>M157*M$102</f>
        <v>0</v>
      </c>
      <c r="N161" s="48"/>
      <c r="O161" s="49"/>
      <c r="P161" s="90"/>
      <c r="Q161" s="49"/>
      <c r="R161" s="49"/>
      <c r="S161" s="48"/>
      <c r="T161" s="48"/>
      <c r="U161" s="90"/>
      <c r="V161" s="90"/>
      <c r="W161" s="49">
        <f t="shared" si="15"/>
        <v>0</v>
      </c>
      <c r="X161" s="72">
        <f>P2x10</f>
        <v>0.778</v>
      </c>
      <c r="Y161" s="50">
        <f t="shared" si="16"/>
        <v>0</v>
      </c>
      <c r="Z161" s="52"/>
    </row>
    <row r="162" spans="2:26" ht="15">
      <c r="B162" s="47"/>
      <c r="C162" s="48">
        <v>12</v>
      </c>
      <c r="D162" s="48"/>
      <c r="E162" s="48"/>
      <c r="F162" s="48"/>
      <c r="G162" s="48"/>
      <c r="H162" s="48"/>
      <c r="I162" s="48"/>
      <c r="J162" s="49"/>
      <c r="K162" s="48"/>
      <c r="L162" s="48"/>
      <c r="M162" s="48"/>
      <c r="N162" s="48">
        <f>N157*N$102</f>
        <v>0</v>
      </c>
      <c r="O162" s="49"/>
      <c r="P162" s="90"/>
      <c r="Q162" s="49"/>
      <c r="R162" s="49">
        <f>R157</f>
        <v>0</v>
      </c>
      <c r="S162" s="48"/>
      <c r="T162" s="48"/>
      <c r="U162" s="90"/>
      <c r="V162" s="90"/>
      <c r="W162" s="49">
        <f t="shared" si="15"/>
        <v>0</v>
      </c>
      <c r="X162" s="72">
        <f>P2x12</f>
        <v>0.9983333333333334</v>
      </c>
      <c r="Y162" s="50">
        <f t="shared" si="16"/>
        <v>0</v>
      </c>
      <c r="Z162" s="52"/>
    </row>
    <row r="163" spans="2:26" ht="15">
      <c r="B163" s="47"/>
      <c r="C163" s="48" t="s">
        <v>390</v>
      </c>
      <c r="D163" s="48"/>
      <c r="E163" s="48"/>
      <c r="F163" s="48"/>
      <c r="G163" s="48"/>
      <c r="H163" s="48"/>
      <c r="I163" s="48"/>
      <c r="J163" s="49"/>
      <c r="K163" s="48"/>
      <c r="L163" s="48"/>
      <c r="M163" s="48"/>
      <c r="N163" s="48"/>
      <c r="O163" s="49"/>
      <c r="P163" s="90"/>
      <c r="Q163" s="49"/>
      <c r="R163" s="49"/>
      <c r="S163" s="48"/>
      <c r="T163" s="48">
        <f>T157*T$102</f>
        <v>0</v>
      </c>
      <c r="U163" s="90"/>
      <c r="V163" s="90"/>
      <c r="W163" s="49">
        <f t="shared" si="15"/>
        <v>0</v>
      </c>
      <c r="X163" s="72">
        <f>Para5x11</f>
        <v>14</v>
      </c>
      <c r="Y163" s="50">
        <f t="shared" si="16"/>
        <v>0</v>
      </c>
      <c r="Z163" s="52"/>
    </row>
    <row r="164" spans="2:26" ht="15">
      <c r="B164" s="47"/>
      <c r="C164" s="48" t="s">
        <v>391</v>
      </c>
      <c r="D164" s="48"/>
      <c r="E164" s="48"/>
      <c r="F164" s="48"/>
      <c r="G164" s="48"/>
      <c r="H164" s="48"/>
      <c r="I164" s="48"/>
      <c r="J164" s="49"/>
      <c r="K164" s="48"/>
      <c r="L164" s="48"/>
      <c r="M164" s="48"/>
      <c r="N164" s="48"/>
      <c r="O164" s="49"/>
      <c r="P164" s="90"/>
      <c r="Q164" s="49"/>
      <c r="R164" s="49"/>
      <c r="S164" s="48"/>
      <c r="T164" s="48"/>
      <c r="U164" s="90"/>
      <c r="V164" s="90"/>
      <c r="W164" s="49"/>
      <c r="X164" s="72">
        <f>Para5x16</f>
        <v>19</v>
      </c>
      <c r="Y164" s="50">
        <f t="shared" si="16"/>
        <v>0</v>
      </c>
      <c r="Z164" s="52"/>
    </row>
    <row r="165" spans="2:26" ht="15.75" thickBot="1">
      <c r="B165" s="53"/>
      <c r="C165" s="54"/>
      <c r="D165" s="54"/>
      <c r="E165" s="54"/>
      <c r="F165" s="54"/>
      <c r="G165" s="54"/>
      <c r="H165" s="54"/>
      <c r="I165" s="54"/>
      <c r="J165" s="55"/>
      <c r="K165" s="54"/>
      <c r="L165" s="54"/>
      <c r="M165" s="54"/>
      <c r="N165" s="54"/>
      <c r="O165" s="55"/>
      <c r="P165" s="91"/>
      <c r="Q165" s="55"/>
      <c r="R165" s="55"/>
      <c r="S165" s="54"/>
      <c r="T165" s="54"/>
      <c r="U165" s="91"/>
      <c r="V165" s="91"/>
      <c r="W165" s="55"/>
      <c r="X165" s="73"/>
      <c r="Y165" s="56"/>
      <c r="Z165" s="57">
        <f>SUM(Y158:Y164)</f>
        <v>653.2179290536475</v>
      </c>
    </row>
    <row r="167" ht="15">
      <c r="A167" t="s">
        <v>71</v>
      </c>
    </row>
    <row r="168" spans="2:12" ht="15">
      <c r="B168" t="s">
        <v>308</v>
      </c>
      <c r="G168">
        <v>8</v>
      </c>
      <c r="I168">
        <v>25</v>
      </c>
      <c r="J168" s="33">
        <v>20</v>
      </c>
      <c r="L168">
        <v>7</v>
      </c>
    </row>
    <row r="169" spans="2:12" ht="15">
      <c r="B169" t="s">
        <v>164</v>
      </c>
      <c r="F169">
        <v>30</v>
      </c>
      <c r="G169">
        <v>12</v>
      </c>
      <c r="I169">
        <v>168</v>
      </c>
      <c r="J169" s="33">
        <v>70</v>
      </c>
      <c r="L169">
        <v>15</v>
      </c>
    </row>
    <row r="170" spans="2:14" ht="15">
      <c r="B170" t="s">
        <v>306</v>
      </c>
      <c r="F170">
        <v>8</v>
      </c>
      <c r="G170">
        <v>7</v>
      </c>
      <c r="I170">
        <v>60</v>
      </c>
      <c r="J170" s="33">
        <v>28</v>
      </c>
      <c r="N170">
        <v>20</v>
      </c>
    </row>
    <row r="171" spans="2:14" ht="15">
      <c r="B171" t="s">
        <v>165</v>
      </c>
      <c r="F171">
        <v>10</v>
      </c>
      <c r="G171">
        <v>13</v>
      </c>
      <c r="H171">
        <v>6</v>
      </c>
      <c r="I171">
        <v>116</v>
      </c>
      <c r="J171" s="33">
        <v>46</v>
      </c>
      <c r="N171">
        <v>20</v>
      </c>
    </row>
    <row r="172" spans="2:10" ht="15">
      <c r="B172" t="s">
        <v>335</v>
      </c>
      <c r="J172" s="33">
        <f>12^2*10/12+12/16</f>
        <v>120.75</v>
      </c>
    </row>
    <row r="174" spans="2:5" ht="15">
      <c r="B174" t="s">
        <v>338</v>
      </c>
      <c r="D174">
        <v>18</v>
      </c>
      <c r="E174">
        <v>48</v>
      </c>
    </row>
    <row r="175" spans="2:5" ht="15">
      <c r="B175" t="s">
        <v>339</v>
      </c>
      <c r="D175">
        <v>18</v>
      </c>
      <c r="E175">
        <v>48</v>
      </c>
    </row>
    <row r="176" spans="2:5" ht="15">
      <c r="B176" t="s">
        <v>340</v>
      </c>
      <c r="D176">
        <v>12</v>
      </c>
      <c r="E176">
        <v>35</v>
      </c>
    </row>
    <row r="177" spans="2:24" s="102" customFormat="1" ht="15">
      <c r="B177" s="102" t="s">
        <v>434</v>
      </c>
      <c r="J177" s="38"/>
      <c r="O177" s="38"/>
      <c r="P177" s="38"/>
      <c r="Q177" s="38"/>
      <c r="R177" s="38"/>
      <c r="U177" s="38"/>
      <c r="V177" s="38">
        <f>40+8+8+8</f>
        <v>64</v>
      </c>
      <c r="X177" s="70"/>
    </row>
    <row r="178" spans="10:23" ht="15">
      <c r="J178" s="96"/>
      <c r="O178" s="96"/>
      <c r="Q178" s="96"/>
      <c r="R178" s="96"/>
      <c r="U178" s="96"/>
      <c r="W178" s="96"/>
    </row>
    <row r="179" spans="10:23" ht="15">
      <c r="J179" s="96"/>
      <c r="O179" s="96"/>
      <c r="Q179" s="96"/>
      <c r="R179" s="96"/>
      <c r="U179" s="96"/>
      <c r="W179" s="96"/>
    </row>
    <row r="180" ht="15.75" thickBot="1"/>
    <row r="181" spans="2:26" ht="15">
      <c r="B181" s="43" t="s">
        <v>290</v>
      </c>
      <c r="C181" s="44"/>
      <c r="D181" s="44">
        <f aca="true" t="shared" si="17" ref="D181:N181">SUM(D168:D176)</f>
        <v>48</v>
      </c>
      <c r="E181" s="44">
        <f t="shared" si="17"/>
        <v>131</v>
      </c>
      <c r="F181" s="44">
        <f t="shared" si="17"/>
        <v>48</v>
      </c>
      <c r="G181" s="44">
        <f t="shared" si="17"/>
        <v>40</v>
      </c>
      <c r="H181" s="44">
        <f t="shared" si="17"/>
        <v>6</v>
      </c>
      <c r="I181" s="44">
        <f t="shared" si="17"/>
        <v>369</v>
      </c>
      <c r="J181" s="45">
        <f t="shared" si="17"/>
        <v>284.75</v>
      </c>
      <c r="K181" s="44">
        <f t="shared" si="17"/>
        <v>0</v>
      </c>
      <c r="L181" s="44">
        <f t="shared" si="17"/>
        <v>22</v>
      </c>
      <c r="M181" s="44">
        <f t="shared" si="17"/>
        <v>0</v>
      </c>
      <c r="N181" s="44">
        <f t="shared" si="17"/>
        <v>40</v>
      </c>
      <c r="O181" s="45"/>
      <c r="P181" s="89"/>
      <c r="Q181" s="45">
        <f>SUM(Q168:Q176)</f>
        <v>0</v>
      </c>
      <c r="R181" s="45">
        <f>SUM(R168:R176)</f>
        <v>0</v>
      </c>
      <c r="S181" s="44"/>
      <c r="T181" s="44">
        <f>SUM(T168:T176)</f>
        <v>0</v>
      </c>
      <c r="U181" s="89"/>
      <c r="V181" s="89"/>
      <c r="W181" s="45"/>
      <c r="X181" s="71"/>
      <c r="Y181" s="44"/>
      <c r="Z181" s="46"/>
    </row>
    <row r="182" spans="2:26" ht="15">
      <c r="B182" s="47" t="s">
        <v>291</v>
      </c>
      <c r="C182" s="48"/>
      <c r="D182" s="48"/>
      <c r="E182" s="48"/>
      <c r="F182" s="48"/>
      <c r="G182" s="48"/>
      <c r="H182" s="48"/>
      <c r="I182" s="48"/>
      <c r="J182" s="49"/>
      <c r="K182" s="48"/>
      <c r="L182" s="48"/>
      <c r="M182" s="48"/>
      <c r="N182" s="48"/>
      <c r="O182" s="49"/>
      <c r="P182" s="90"/>
      <c r="Q182" s="49"/>
      <c r="R182" s="49"/>
      <c r="S182" s="48"/>
      <c r="T182" s="48"/>
      <c r="U182" s="90"/>
      <c r="V182" s="90"/>
      <c r="W182" s="49"/>
      <c r="X182" s="72"/>
      <c r="Y182" s="48"/>
      <c r="Z182" s="51"/>
    </row>
    <row r="183" spans="2:26" ht="15">
      <c r="B183" s="47"/>
      <c r="C183" s="48">
        <v>4</v>
      </c>
      <c r="D183" s="48">
        <f>D181*D$102</f>
        <v>384</v>
      </c>
      <c r="E183" s="48">
        <f>E181*E$102</f>
        <v>131</v>
      </c>
      <c r="F183" s="48"/>
      <c r="G183" s="48"/>
      <c r="H183" s="48"/>
      <c r="I183" s="48"/>
      <c r="J183" s="49"/>
      <c r="K183" s="48"/>
      <c r="L183" s="48"/>
      <c r="M183" s="48"/>
      <c r="N183" s="48"/>
      <c r="O183" s="49"/>
      <c r="P183" s="90"/>
      <c r="Q183" s="49"/>
      <c r="R183" s="49"/>
      <c r="S183" s="48"/>
      <c r="T183" s="48"/>
      <c r="U183" s="90"/>
      <c r="V183" s="90"/>
      <c r="W183" s="49">
        <f aca="true" t="shared" si="18" ref="W183:W189">SUM(D183:T183)</f>
        <v>515</v>
      </c>
      <c r="X183" s="72">
        <f>P2x4</f>
        <v>0.2975</v>
      </c>
      <c r="Y183" s="50">
        <f aca="true" t="shared" si="19" ref="Y183:Y190">X183*W183</f>
        <v>153.2125</v>
      </c>
      <c r="Z183" s="51"/>
    </row>
    <row r="184" spans="2:26" ht="15">
      <c r="B184" s="47"/>
      <c r="C184" s="48">
        <v>6</v>
      </c>
      <c r="D184" s="48"/>
      <c r="E184" s="48"/>
      <c r="F184" s="48">
        <f aca="true" t="shared" si="20" ref="F184:K184">F181*F$102</f>
        <v>384</v>
      </c>
      <c r="G184" s="48">
        <f t="shared" si="20"/>
        <v>400</v>
      </c>
      <c r="H184" s="48">
        <f t="shared" si="20"/>
        <v>72</v>
      </c>
      <c r="I184" s="48">
        <f t="shared" si="20"/>
        <v>369</v>
      </c>
      <c r="J184" s="49">
        <f t="shared" si="20"/>
        <v>284.75</v>
      </c>
      <c r="K184" s="48">
        <f t="shared" si="20"/>
        <v>0</v>
      </c>
      <c r="L184" s="48"/>
      <c r="M184" s="48"/>
      <c r="N184" s="48"/>
      <c r="O184" s="49"/>
      <c r="P184" s="90"/>
      <c r="Q184" s="49"/>
      <c r="R184" s="49"/>
      <c r="S184" s="48"/>
      <c r="T184" s="48"/>
      <c r="U184" s="90"/>
      <c r="V184" s="90"/>
      <c r="W184" s="49">
        <f t="shared" si="18"/>
        <v>1509.75</v>
      </c>
      <c r="X184" s="72">
        <f>P2x6</f>
        <v>0.438</v>
      </c>
      <c r="Y184" s="50">
        <f t="shared" si="19"/>
        <v>661.2705</v>
      </c>
      <c r="Z184" s="52"/>
    </row>
    <row r="185" spans="2:26" ht="15">
      <c r="B185" s="47"/>
      <c r="C185" s="48">
        <v>8</v>
      </c>
      <c r="D185" s="48"/>
      <c r="E185" s="48"/>
      <c r="F185" s="48"/>
      <c r="G185" s="48"/>
      <c r="H185" s="48"/>
      <c r="I185" s="48"/>
      <c r="J185" s="49"/>
      <c r="K185" s="48"/>
      <c r="L185" s="48">
        <f>L181*L$102</f>
        <v>66</v>
      </c>
      <c r="M185" s="48"/>
      <c r="N185" s="48"/>
      <c r="O185" s="49"/>
      <c r="P185" s="90"/>
      <c r="Q185" s="49">
        <f>Q181</f>
        <v>0</v>
      </c>
      <c r="R185" s="49"/>
      <c r="S185" s="48"/>
      <c r="T185" s="48"/>
      <c r="U185" s="90"/>
      <c r="V185" s="90"/>
      <c r="W185" s="49">
        <f t="shared" si="18"/>
        <v>66</v>
      </c>
      <c r="X185" s="72">
        <f>P2x8</f>
        <v>0.629</v>
      </c>
      <c r="Y185" s="50">
        <f t="shared" si="19"/>
        <v>41.514</v>
      </c>
      <c r="Z185" s="52"/>
    </row>
    <row r="186" spans="2:26" ht="15">
      <c r="B186" s="47"/>
      <c r="C186" s="48">
        <v>10</v>
      </c>
      <c r="D186" s="48"/>
      <c r="E186" s="48"/>
      <c r="F186" s="48"/>
      <c r="G186" s="48"/>
      <c r="H186" s="48"/>
      <c r="I186" s="48"/>
      <c r="J186" s="49"/>
      <c r="K186" s="48"/>
      <c r="L186" s="48"/>
      <c r="M186" s="48">
        <f>M181*M$102</f>
        <v>0</v>
      </c>
      <c r="N186" s="48"/>
      <c r="O186" s="49"/>
      <c r="P186" s="90"/>
      <c r="Q186" s="49"/>
      <c r="R186" s="49"/>
      <c r="S186" s="48"/>
      <c r="T186" s="48"/>
      <c r="U186" s="90"/>
      <c r="V186" s="90"/>
      <c r="W186" s="49">
        <f t="shared" si="18"/>
        <v>0</v>
      </c>
      <c r="X186" s="72">
        <f>P2x10</f>
        <v>0.778</v>
      </c>
      <c r="Y186" s="50">
        <f t="shared" si="19"/>
        <v>0</v>
      </c>
      <c r="Z186" s="52"/>
    </row>
    <row r="187" spans="2:26" ht="15">
      <c r="B187" s="47"/>
      <c r="C187" s="48">
        <v>12</v>
      </c>
      <c r="D187" s="48"/>
      <c r="E187" s="48"/>
      <c r="F187" s="48"/>
      <c r="G187" s="48"/>
      <c r="H187" s="48"/>
      <c r="I187" s="48"/>
      <c r="J187" s="49"/>
      <c r="K187" s="48"/>
      <c r="L187" s="48"/>
      <c r="M187" s="48"/>
      <c r="N187" s="48">
        <f>N181*N$102</f>
        <v>120</v>
      </c>
      <c r="O187" s="49"/>
      <c r="P187" s="90"/>
      <c r="Q187" s="49"/>
      <c r="R187" s="49">
        <f>R181</f>
        <v>0</v>
      </c>
      <c r="S187" s="48"/>
      <c r="T187" s="48"/>
      <c r="U187" s="90"/>
      <c r="V187" s="90"/>
      <c r="W187" s="49">
        <f t="shared" si="18"/>
        <v>120</v>
      </c>
      <c r="X187" s="72">
        <f>P2x12</f>
        <v>0.9983333333333334</v>
      </c>
      <c r="Y187" s="50">
        <f t="shared" si="19"/>
        <v>119.80000000000001</v>
      </c>
      <c r="Z187" s="52"/>
    </row>
    <row r="188" spans="2:26" ht="15">
      <c r="B188" s="47"/>
      <c r="C188" s="48" t="s">
        <v>390</v>
      </c>
      <c r="D188" s="48"/>
      <c r="E188" s="48"/>
      <c r="F188" s="48"/>
      <c r="G188" s="48"/>
      <c r="H188" s="48"/>
      <c r="I188" s="48"/>
      <c r="J188" s="49"/>
      <c r="K188" s="48"/>
      <c r="L188" s="48"/>
      <c r="M188" s="48"/>
      <c r="N188" s="48"/>
      <c r="O188" s="49"/>
      <c r="P188" s="90"/>
      <c r="Q188" s="49"/>
      <c r="R188" s="49"/>
      <c r="S188" s="48"/>
      <c r="T188" s="48">
        <f>T181*T$102</f>
        <v>0</v>
      </c>
      <c r="U188" s="90"/>
      <c r="V188" s="90"/>
      <c r="W188" s="90">
        <f t="shared" si="18"/>
        <v>0</v>
      </c>
      <c r="X188" s="72">
        <f>Para5x11</f>
        <v>14</v>
      </c>
      <c r="Y188" s="50">
        <f t="shared" si="19"/>
        <v>0</v>
      </c>
      <c r="Z188" s="52"/>
    </row>
    <row r="189" spans="2:26" ht="15">
      <c r="B189" s="47"/>
      <c r="C189" s="48" t="s">
        <v>391</v>
      </c>
      <c r="D189" s="48"/>
      <c r="E189" s="48"/>
      <c r="F189" s="48"/>
      <c r="G189" s="48"/>
      <c r="H189" s="48"/>
      <c r="I189" s="48"/>
      <c r="J189" s="49"/>
      <c r="K189" s="48"/>
      <c r="L189" s="48"/>
      <c r="M189" s="48"/>
      <c r="N189" s="48"/>
      <c r="O189" s="49"/>
      <c r="P189" s="90"/>
      <c r="Q189" s="49"/>
      <c r="R189" s="49"/>
      <c r="S189" s="48"/>
      <c r="T189" s="48"/>
      <c r="U189" s="90"/>
      <c r="V189" s="90"/>
      <c r="W189" s="90">
        <f t="shared" si="18"/>
        <v>0</v>
      </c>
      <c r="X189" s="72">
        <f>Para5x16</f>
        <v>19</v>
      </c>
      <c r="Y189" s="50">
        <f t="shared" si="19"/>
        <v>0</v>
      </c>
      <c r="Z189" s="52"/>
    </row>
    <row r="190" spans="2:26" ht="15.75" thickBot="1">
      <c r="B190" s="47"/>
      <c r="C190" s="48"/>
      <c r="D190" s="48"/>
      <c r="E190" s="48"/>
      <c r="F190" s="48"/>
      <c r="G190" s="48"/>
      <c r="H190" s="48"/>
      <c r="I190" s="48"/>
      <c r="J190" s="90"/>
      <c r="K190" s="48"/>
      <c r="L190" s="48"/>
      <c r="M190" s="48"/>
      <c r="N190" s="48"/>
      <c r="O190" s="90"/>
      <c r="P190" s="90"/>
      <c r="Q190" s="90"/>
      <c r="R190" s="90"/>
      <c r="S190" s="48"/>
      <c r="T190" s="48"/>
      <c r="U190" s="90"/>
      <c r="V190" s="90">
        <f>V177</f>
        <v>64</v>
      </c>
      <c r="W190" s="90">
        <f>SUM(D190:V190)</f>
        <v>64</v>
      </c>
      <c r="X190" s="73">
        <f>PT2x8Sill</f>
        <v>0.8</v>
      </c>
      <c r="Y190" s="50">
        <f t="shared" si="19"/>
        <v>51.2</v>
      </c>
      <c r="Z190" s="52"/>
    </row>
    <row r="191" spans="2:26" ht="15.75" thickBot="1">
      <c r="B191" s="53"/>
      <c r="C191" s="54"/>
      <c r="D191" s="54"/>
      <c r="E191" s="54"/>
      <c r="F191" s="54"/>
      <c r="G191" s="54"/>
      <c r="H191" s="54"/>
      <c r="I191" s="54"/>
      <c r="J191" s="55"/>
      <c r="K191" s="54"/>
      <c r="L191" s="54"/>
      <c r="M191" s="54"/>
      <c r="N191" s="54"/>
      <c r="O191" s="55"/>
      <c r="P191" s="91"/>
      <c r="Q191" s="55"/>
      <c r="R191" s="55"/>
      <c r="S191" s="54"/>
      <c r="T191" s="54"/>
      <c r="U191" s="91"/>
      <c r="V191" s="91"/>
      <c r="W191" s="55"/>
      <c r="Y191" s="54"/>
      <c r="Z191" s="57">
        <f>SUM(Y183:Y190)</f>
        <v>1026.997</v>
      </c>
    </row>
    <row r="192" ht="15">
      <c r="A192" t="s">
        <v>356</v>
      </c>
    </row>
    <row r="193" spans="2:16" ht="15">
      <c r="B193" t="s">
        <v>358</v>
      </c>
      <c r="O193" s="33"/>
      <c r="P193" s="96">
        <f>34*22</f>
        <v>748</v>
      </c>
    </row>
    <row r="194" spans="2:18" ht="15">
      <c r="B194" t="s">
        <v>359</v>
      </c>
      <c r="Q194" s="33">
        <f>20*26</f>
        <v>520</v>
      </c>
      <c r="R194" s="33">
        <f>20*24</f>
        <v>480</v>
      </c>
    </row>
    <row r="195" spans="2:24" s="1" customFormat="1" ht="15">
      <c r="B195" s="1" t="s">
        <v>360</v>
      </c>
      <c r="J195" s="35"/>
      <c r="O195" s="35"/>
      <c r="P195" s="88"/>
      <c r="Q195" s="35"/>
      <c r="R195" s="35"/>
      <c r="U195" s="88">
        <v>20</v>
      </c>
      <c r="V195" s="88"/>
      <c r="W195" s="35"/>
      <c r="X195" s="67"/>
    </row>
    <row r="196" spans="2:24" s="1" customFormat="1" ht="15">
      <c r="B196" s="1" t="s">
        <v>361</v>
      </c>
      <c r="J196" s="35"/>
      <c r="O196" s="35"/>
      <c r="P196" s="88"/>
      <c r="Q196" s="35"/>
      <c r="R196" s="35"/>
      <c r="U196" s="88">
        <v>26</v>
      </c>
      <c r="V196" s="88"/>
      <c r="W196" s="35"/>
      <c r="X196" s="67"/>
    </row>
    <row r="197" spans="2:15" ht="15">
      <c r="B197" t="s">
        <v>384</v>
      </c>
      <c r="O197" s="33">
        <f>2*29*18</f>
        <v>1044</v>
      </c>
    </row>
    <row r="198" spans="2:14" ht="15">
      <c r="B198" t="s">
        <v>385</v>
      </c>
      <c r="N198">
        <v>40</v>
      </c>
    </row>
    <row r="199" ht="15.75" thickBot="1"/>
    <row r="200" spans="2:26" ht="15">
      <c r="B200" s="43" t="s">
        <v>290</v>
      </c>
      <c r="C200" s="44"/>
      <c r="D200" s="44">
        <f aca="true" t="shared" si="21" ref="D200:N200">SUM(D193:D198)</f>
        <v>0</v>
      </c>
      <c r="E200" s="44">
        <f t="shared" si="21"/>
        <v>0</v>
      </c>
      <c r="F200" s="44">
        <f t="shared" si="21"/>
        <v>0</v>
      </c>
      <c r="G200" s="44">
        <f t="shared" si="21"/>
        <v>0</v>
      </c>
      <c r="H200" s="44">
        <f t="shared" si="21"/>
        <v>0</v>
      </c>
      <c r="I200" s="44">
        <f t="shared" si="21"/>
        <v>0</v>
      </c>
      <c r="J200" s="45">
        <f t="shared" si="21"/>
        <v>0</v>
      </c>
      <c r="K200" s="44">
        <f t="shared" si="21"/>
        <v>0</v>
      </c>
      <c r="L200" s="44">
        <f t="shared" si="21"/>
        <v>0</v>
      </c>
      <c r="M200" s="44">
        <f t="shared" si="21"/>
        <v>0</v>
      </c>
      <c r="N200" s="44">
        <f t="shared" si="21"/>
        <v>40</v>
      </c>
      <c r="O200" s="44">
        <f>SUM(O193:O198)</f>
        <v>1044</v>
      </c>
      <c r="P200" s="44">
        <f>SUM(P193:P198)</f>
        <v>748</v>
      </c>
      <c r="Q200" s="44">
        <f>SUM(Q194:Q198)</f>
        <v>520</v>
      </c>
      <c r="R200" s="44">
        <f>SUM(R194:R198)</f>
        <v>480</v>
      </c>
      <c r="S200" s="44"/>
      <c r="T200" s="44">
        <f>SUM(T193:T198)</f>
        <v>0</v>
      </c>
      <c r="U200" s="89">
        <f>SUM(U193:U198)</f>
        <v>46</v>
      </c>
      <c r="V200" s="89"/>
      <c r="W200" s="45"/>
      <c r="X200" s="71"/>
      <c r="Y200" s="44"/>
      <c r="Z200" s="46"/>
    </row>
    <row r="201" spans="2:26" ht="15">
      <c r="B201" s="47" t="s">
        <v>291</v>
      </c>
      <c r="C201" s="48">
        <v>4</v>
      </c>
      <c r="D201" s="48">
        <f>D199*D$102</f>
        <v>0</v>
      </c>
      <c r="E201" s="48">
        <f>E199*E$102</f>
        <v>0</v>
      </c>
      <c r="F201" s="48"/>
      <c r="G201" s="48"/>
      <c r="H201" s="48"/>
      <c r="I201" s="48"/>
      <c r="J201" s="49"/>
      <c r="K201" s="48"/>
      <c r="L201" s="48"/>
      <c r="M201" s="48"/>
      <c r="N201" s="48"/>
      <c r="O201" s="49"/>
      <c r="P201" s="90"/>
      <c r="Q201" s="49"/>
      <c r="R201" s="49"/>
      <c r="S201" s="48"/>
      <c r="T201" s="48"/>
      <c r="U201" s="90"/>
      <c r="V201" s="90"/>
      <c r="W201" s="49">
        <f aca="true" t="shared" si="22" ref="W201:W210">SUM(D201:T201)</f>
        <v>0</v>
      </c>
      <c r="X201" s="72">
        <f>P2x4</f>
        <v>0.2975</v>
      </c>
      <c r="Y201" s="50">
        <f>X201*W201</f>
        <v>0</v>
      </c>
      <c r="Z201" s="51"/>
    </row>
    <row r="202" spans="2:26" ht="15">
      <c r="B202" s="47"/>
      <c r="C202" s="48">
        <v>6</v>
      </c>
      <c r="D202" s="48"/>
      <c r="E202" s="48"/>
      <c r="F202" s="48">
        <f>F200*F$102</f>
        <v>0</v>
      </c>
      <c r="G202" s="48">
        <f>G200*G$102</f>
        <v>0</v>
      </c>
      <c r="H202" s="48"/>
      <c r="I202" s="48">
        <f>I200*I$102</f>
        <v>0</v>
      </c>
      <c r="J202" s="49">
        <f>J200*J$102</f>
        <v>0</v>
      </c>
      <c r="K202" s="48">
        <f>K200*K$102</f>
        <v>0</v>
      </c>
      <c r="L202" s="48"/>
      <c r="M202" s="48"/>
      <c r="N202" s="48"/>
      <c r="O202" s="49"/>
      <c r="P202" s="90"/>
      <c r="Q202" s="49"/>
      <c r="R202" s="49"/>
      <c r="S202" s="48"/>
      <c r="T202" s="48"/>
      <c r="U202" s="90"/>
      <c r="V202" s="90"/>
      <c r="W202" s="49">
        <f t="shared" si="22"/>
        <v>0</v>
      </c>
      <c r="X202" s="72">
        <f>P2x6</f>
        <v>0.438</v>
      </c>
      <c r="Y202" s="50">
        <f>X202*W202</f>
        <v>0</v>
      </c>
      <c r="Z202" s="52"/>
    </row>
    <row r="203" spans="2:26" ht="15">
      <c r="B203" s="47"/>
      <c r="C203" s="48">
        <v>8</v>
      </c>
      <c r="D203" s="48"/>
      <c r="E203" s="48"/>
      <c r="F203" s="48"/>
      <c r="G203" s="48"/>
      <c r="H203" s="48"/>
      <c r="I203" s="48"/>
      <c r="J203" s="49"/>
      <c r="K203" s="48"/>
      <c r="L203" s="48">
        <f>L200*L$102</f>
        <v>0</v>
      </c>
      <c r="M203" s="48"/>
      <c r="N203" s="48"/>
      <c r="R203" s="49"/>
      <c r="S203" s="48"/>
      <c r="T203" s="48"/>
      <c r="U203" s="90"/>
      <c r="V203" s="90"/>
      <c r="W203" s="49">
        <f t="shared" si="22"/>
        <v>0</v>
      </c>
      <c r="X203" s="72">
        <f>P2x8</f>
        <v>0.629</v>
      </c>
      <c r="Y203" s="50">
        <f>X203*W203</f>
        <v>0</v>
      </c>
      <c r="Z203" s="52"/>
    </row>
    <row r="204" spans="2:26" ht="15">
      <c r="B204" s="47"/>
      <c r="C204" s="48">
        <v>10</v>
      </c>
      <c r="D204" s="48"/>
      <c r="E204" s="48"/>
      <c r="F204" s="48"/>
      <c r="G204" s="48"/>
      <c r="H204" s="48"/>
      <c r="I204" s="48"/>
      <c r="J204" s="49"/>
      <c r="K204" s="48"/>
      <c r="L204" s="48"/>
      <c r="M204" s="48">
        <f>M200*M$102</f>
        <v>0</v>
      </c>
      <c r="N204" s="48"/>
      <c r="O204" s="49"/>
      <c r="P204" s="90"/>
      <c r="Q204" s="49"/>
      <c r="R204" s="49"/>
      <c r="S204" s="48"/>
      <c r="T204" s="48"/>
      <c r="U204" s="90"/>
      <c r="V204" s="90"/>
      <c r="W204" s="49">
        <f t="shared" si="22"/>
        <v>0</v>
      </c>
      <c r="X204" s="72">
        <f>P2x10</f>
        <v>0.778</v>
      </c>
      <c r="Y204" s="50">
        <f>X204*W204</f>
        <v>0</v>
      </c>
      <c r="Z204" s="52"/>
    </row>
    <row r="205" spans="2:26" ht="15">
      <c r="B205" s="47"/>
      <c r="C205" s="48">
        <v>12</v>
      </c>
      <c r="D205" s="48"/>
      <c r="E205" s="48"/>
      <c r="F205" s="48"/>
      <c r="G205" s="48"/>
      <c r="H205" s="48"/>
      <c r="I205" s="48"/>
      <c r="J205" s="49"/>
      <c r="K205" s="48"/>
      <c r="L205" s="48"/>
      <c r="M205" s="48"/>
      <c r="N205" s="48">
        <f>N200*N$102</f>
        <v>120</v>
      </c>
      <c r="O205" s="49"/>
      <c r="P205" s="90"/>
      <c r="Q205" s="49"/>
      <c r="S205" s="48"/>
      <c r="T205" s="48"/>
      <c r="U205" s="90"/>
      <c r="V205" s="90"/>
      <c r="W205" s="49">
        <f t="shared" si="22"/>
        <v>120</v>
      </c>
      <c r="X205" s="72">
        <f>P2x12</f>
        <v>0.9983333333333334</v>
      </c>
      <c r="Y205" s="50">
        <f>X205*W205</f>
        <v>119.80000000000001</v>
      </c>
      <c r="Z205" s="52"/>
    </row>
    <row r="206" spans="2:26" ht="15">
      <c r="B206" s="47"/>
      <c r="C206" s="48" t="s">
        <v>404</v>
      </c>
      <c r="D206" s="48"/>
      <c r="E206" s="48"/>
      <c r="F206" s="48"/>
      <c r="G206" s="48"/>
      <c r="H206" s="48"/>
      <c r="I206" s="48"/>
      <c r="J206" s="49"/>
      <c r="K206" s="48"/>
      <c r="L206" s="48"/>
      <c r="M206" s="48"/>
      <c r="N206" s="48"/>
      <c r="O206" s="49">
        <f>O200</f>
        <v>1044</v>
      </c>
      <c r="R206" s="49"/>
      <c r="S206" s="48"/>
      <c r="T206" s="48"/>
      <c r="U206" s="90"/>
      <c r="V206" s="90"/>
      <c r="W206" s="90">
        <f t="shared" si="22"/>
        <v>1044</v>
      </c>
      <c r="X206" s="72">
        <f>P2x8x18</f>
        <v>0.629</v>
      </c>
      <c r="Y206" s="50">
        <f aca="true" t="shared" si="23" ref="Y206:Y211">X206*W206</f>
        <v>656.676</v>
      </c>
      <c r="Z206" s="52"/>
    </row>
    <row r="207" spans="2:26" ht="15">
      <c r="B207" s="47"/>
      <c r="C207" s="48" t="s">
        <v>431</v>
      </c>
      <c r="D207" s="48"/>
      <c r="E207" s="48"/>
      <c r="F207" s="48"/>
      <c r="G207" s="48"/>
      <c r="H207" s="48"/>
      <c r="I207" s="48"/>
      <c r="J207" s="90"/>
      <c r="K207" s="48"/>
      <c r="L207" s="48"/>
      <c r="M207" s="48"/>
      <c r="N207" s="48"/>
      <c r="O207" s="90"/>
      <c r="P207" s="90">
        <f>P200</f>
        <v>748</v>
      </c>
      <c r="Q207" s="96"/>
      <c r="R207" s="90"/>
      <c r="S207" s="48"/>
      <c r="T207" s="48"/>
      <c r="U207" s="90"/>
      <c r="V207" s="90"/>
      <c r="W207" s="90">
        <f t="shared" si="22"/>
        <v>748</v>
      </c>
      <c r="X207" s="72">
        <f>P2x8x22</f>
        <v>0.9</v>
      </c>
      <c r="Y207" s="50">
        <f t="shared" si="23"/>
        <v>673.2</v>
      </c>
      <c r="Z207" s="52"/>
    </row>
    <row r="208" spans="2:26" ht="15">
      <c r="B208" s="47"/>
      <c r="C208" s="48" t="s">
        <v>403</v>
      </c>
      <c r="Q208" s="49">
        <f>Q200</f>
        <v>520</v>
      </c>
      <c r="W208" s="90">
        <f t="shared" si="22"/>
        <v>520</v>
      </c>
      <c r="X208" s="72">
        <f>P2x8x26</f>
        <v>1</v>
      </c>
      <c r="Y208" s="50">
        <f t="shared" si="23"/>
        <v>520</v>
      </c>
      <c r="Z208" s="52"/>
    </row>
    <row r="209" spans="2:26" ht="15">
      <c r="B209" s="47"/>
      <c r="C209" s="48" t="s">
        <v>405</v>
      </c>
      <c r="R209" s="49">
        <f>R200</f>
        <v>480</v>
      </c>
      <c r="W209" s="90">
        <f t="shared" si="22"/>
        <v>480</v>
      </c>
      <c r="X209" s="72">
        <f>P2x12x24</f>
        <v>1.4</v>
      </c>
      <c r="Y209" s="50">
        <f t="shared" si="23"/>
        <v>672</v>
      </c>
      <c r="Z209" s="52"/>
    </row>
    <row r="210" spans="2:26" ht="15">
      <c r="B210" s="47"/>
      <c r="C210" s="48" t="s">
        <v>390</v>
      </c>
      <c r="D210" s="48"/>
      <c r="E210" s="48"/>
      <c r="F210" s="48"/>
      <c r="G210" s="48"/>
      <c r="H210" s="48"/>
      <c r="I210" s="48"/>
      <c r="J210" s="49"/>
      <c r="K210" s="48"/>
      <c r="L210" s="48"/>
      <c r="M210" s="48"/>
      <c r="N210" s="48"/>
      <c r="O210" s="49"/>
      <c r="P210" s="90"/>
      <c r="Q210" s="49"/>
      <c r="R210" s="49"/>
      <c r="S210" s="48"/>
      <c r="T210" s="48">
        <f>T200*T$102</f>
        <v>0</v>
      </c>
      <c r="U210" s="90"/>
      <c r="V210" s="90"/>
      <c r="W210" s="90">
        <f t="shared" si="22"/>
        <v>0</v>
      </c>
      <c r="X210" s="68">
        <f>Para5x11</f>
        <v>14</v>
      </c>
      <c r="Y210" s="50">
        <f t="shared" si="23"/>
        <v>0</v>
      </c>
      <c r="Z210" s="52"/>
    </row>
    <row r="211" spans="2:26" ht="15">
      <c r="B211" s="47"/>
      <c r="C211" s="48" t="s">
        <v>391</v>
      </c>
      <c r="D211" s="48"/>
      <c r="E211" s="48"/>
      <c r="F211" s="48"/>
      <c r="G211" s="48"/>
      <c r="H211" s="48"/>
      <c r="I211" s="48"/>
      <c r="J211" s="49"/>
      <c r="K211" s="48"/>
      <c r="L211" s="48"/>
      <c r="M211" s="48"/>
      <c r="N211" s="48"/>
      <c r="O211" s="49"/>
      <c r="P211" s="90"/>
      <c r="Q211" s="49"/>
      <c r="R211" s="49"/>
      <c r="S211" s="48"/>
      <c r="T211" s="48"/>
      <c r="U211" s="90">
        <f>U200</f>
        <v>46</v>
      </c>
      <c r="V211" s="90"/>
      <c r="W211" s="49">
        <f>SUM(D211:U211)</f>
        <v>46</v>
      </c>
      <c r="X211" s="72">
        <f>Para5x16</f>
        <v>19</v>
      </c>
      <c r="Y211" s="50">
        <f t="shared" si="23"/>
        <v>874</v>
      </c>
      <c r="Z211" s="52"/>
    </row>
    <row r="212" spans="2:26" ht="15.75" thickBot="1">
      <c r="B212" s="53"/>
      <c r="C212" s="54"/>
      <c r="D212" s="54"/>
      <c r="E212" s="54"/>
      <c r="F212" s="54"/>
      <c r="G212" s="54"/>
      <c r="H212" s="54"/>
      <c r="I212" s="54"/>
      <c r="J212" s="55"/>
      <c r="K212" s="54"/>
      <c r="L212" s="54"/>
      <c r="M212" s="54"/>
      <c r="N212" s="54"/>
      <c r="O212" s="55"/>
      <c r="P212" s="91"/>
      <c r="Q212" s="55"/>
      <c r="R212" s="55"/>
      <c r="S212" s="54"/>
      <c r="T212" s="54"/>
      <c r="U212" s="91"/>
      <c r="V212" s="91"/>
      <c r="W212" s="55"/>
      <c r="X212" s="73"/>
      <c r="Y212" s="56"/>
      <c r="Z212" s="57">
        <f>SUM(Y201:Y211)</f>
        <v>3515.6760000000004</v>
      </c>
    </row>
    <row r="214" ht="15">
      <c r="Z214" s="28">
        <f>SUM(Z109:Z213)</f>
        <v>9046.238272296567</v>
      </c>
    </row>
    <row r="215" spans="10:24" s="30" customFormat="1" ht="15">
      <c r="J215" s="37"/>
      <c r="O215" s="37"/>
      <c r="P215" s="93"/>
      <c r="Q215" s="37"/>
      <c r="R215" s="37"/>
      <c r="U215" s="93"/>
      <c r="V215" s="93"/>
      <c r="W215" s="37"/>
      <c r="X215" s="75"/>
    </row>
    <row r="216" spans="10:24" s="26" customFormat="1" ht="15">
      <c r="J216" s="36"/>
      <c r="O216" s="36"/>
      <c r="P216" s="92"/>
      <c r="Q216" s="36"/>
      <c r="R216" s="36"/>
      <c r="U216" s="92"/>
      <c r="V216" s="92"/>
      <c r="W216" s="36"/>
      <c r="X216" s="74"/>
    </row>
    <row r="217" spans="1:26" ht="51" customHeight="1">
      <c r="A217" s="15"/>
      <c r="B217" s="15"/>
      <c r="C217" s="15"/>
      <c r="D217" s="15" t="s">
        <v>336</v>
      </c>
      <c r="E217" s="15" t="s">
        <v>337</v>
      </c>
      <c r="F217" s="15" t="s">
        <v>286</v>
      </c>
      <c r="G217" s="15" t="s">
        <v>285</v>
      </c>
      <c r="H217" s="15" t="s">
        <v>307</v>
      </c>
      <c r="I217" s="15" t="s">
        <v>287</v>
      </c>
      <c r="J217" s="58" t="s">
        <v>288</v>
      </c>
      <c r="K217" s="15" t="s">
        <v>422</v>
      </c>
      <c r="L217" s="15" t="s">
        <v>423</v>
      </c>
      <c r="M217" s="15" t="s">
        <v>424</v>
      </c>
      <c r="N217" s="15" t="s">
        <v>425</v>
      </c>
      <c r="O217" s="66" t="s">
        <v>400</v>
      </c>
      <c r="P217" s="98" t="s">
        <v>430</v>
      </c>
      <c r="Q217" s="66" t="s">
        <v>401</v>
      </c>
      <c r="R217" s="66" t="s">
        <v>402</v>
      </c>
      <c r="S217" s="15"/>
      <c r="T217" s="15" t="s">
        <v>389</v>
      </c>
      <c r="U217" s="95" t="s">
        <v>421</v>
      </c>
      <c r="V217" s="98" t="str">
        <f>V101</f>
        <v>2x8 Sill Plate Treated</v>
      </c>
      <c r="W217" s="58"/>
      <c r="X217" s="76"/>
      <c r="Y217" s="15"/>
      <c r="Z217" s="15"/>
    </row>
    <row r="218" spans="4:22" ht="15.75" thickBot="1">
      <c r="D218">
        <f>D102</f>
        <v>8</v>
      </c>
      <c r="E218">
        <f aca="true" t="shared" si="24" ref="E218:T218">E102</f>
        <v>1</v>
      </c>
      <c r="F218">
        <f t="shared" si="24"/>
        <v>8</v>
      </c>
      <c r="G218">
        <f t="shared" si="24"/>
        <v>10</v>
      </c>
      <c r="H218">
        <f t="shared" si="24"/>
        <v>12</v>
      </c>
      <c r="I218">
        <f t="shared" si="24"/>
        <v>1</v>
      </c>
      <c r="J218">
        <f t="shared" si="24"/>
        <v>1</v>
      </c>
      <c r="K218">
        <f t="shared" si="24"/>
        <v>3</v>
      </c>
      <c r="L218">
        <f t="shared" si="24"/>
        <v>3</v>
      </c>
      <c r="M218">
        <f t="shared" si="24"/>
        <v>3</v>
      </c>
      <c r="N218">
        <f t="shared" si="24"/>
        <v>3</v>
      </c>
      <c r="O218">
        <v>18</v>
      </c>
      <c r="P218">
        <v>22</v>
      </c>
      <c r="Q218">
        <v>26</v>
      </c>
      <c r="R218">
        <v>24</v>
      </c>
      <c r="S218">
        <f t="shared" si="24"/>
        <v>0</v>
      </c>
      <c r="T218">
        <f t="shared" si="24"/>
        <v>1</v>
      </c>
      <c r="U218">
        <v>1</v>
      </c>
      <c r="V218"/>
    </row>
    <row r="219" spans="2:26" ht="15">
      <c r="B219" s="43" t="s">
        <v>290</v>
      </c>
      <c r="C219" s="44"/>
      <c r="D219" s="44"/>
      <c r="E219" s="44"/>
      <c r="F219" s="44"/>
      <c r="G219" s="44"/>
      <c r="H219" s="44"/>
      <c r="I219" s="44"/>
      <c r="J219" s="45"/>
      <c r="K219" s="44"/>
      <c r="L219" s="44"/>
      <c r="M219" s="44"/>
      <c r="N219" s="44"/>
      <c r="O219" s="45"/>
      <c r="P219" s="89"/>
      <c r="Q219" s="45"/>
      <c r="R219" s="45"/>
      <c r="S219" s="44"/>
      <c r="T219" s="44"/>
      <c r="U219" s="89"/>
      <c r="V219" s="89"/>
      <c r="W219" s="45"/>
      <c r="X219" s="71"/>
      <c r="Y219" s="44"/>
      <c r="Z219" s="46"/>
    </row>
    <row r="220" spans="2:26" ht="15">
      <c r="B220" s="47" t="s">
        <v>291</v>
      </c>
      <c r="C220" s="48">
        <v>4</v>
      </c>
      <c r="D220" s="48">
        <f>D201+D183+D158+D142+D115</f>
        <v>384</v>
      </c>
      <c r="E220" s="48">
        <f>E201+E183+E158+E142+E115</f>
        <v>131</v>
      </c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90"/>
      <c r="V220" s="90"/>
      <c r="W220" s="49">
        <f>SUM(D220:U220)</f>
        <v>515</v>
      </c>
      <c r="X220" s="72">
        <f>P2x4</f>
        <v>0.2975</v>
      </c>
      <c r="Y220" s="50">
        <f aca="true" t="shared" si="25" ref="Y220:Y231">X220*W220</f>
        <v>153.2125</v>
      </c>
      <c r="Z220" s="51"/>
    </row>
    <row r="221" spans="2:26" ht="15">
      <c r="B221" s="47"/>
      <c r="C221" s="48">
        <v>6</v>
      </c>
      <c r="D221" s="48"/>
      <c r="E221" s="48"/>
      <c r="F221" s="48">
        <f>F202+F184+F159+F143+F116</f>
        <v>3664</v>
      </c>
      <c r="G221" s="48">
        <f>G202+G184+G159+G143+G116</f>
        <v>2050</v>
      </c>
      <c r="H221" s="48">
        <f>H202+H184+H159+H143+H116</f>
        <v>72</v>
      </c>
      <c r="I221" s="48">
        <f>I202+I184+I159+I143+I116</f>
        <v>2381</v>
      </c>
      <c r="J221" s="99">
        <f>TRUNC(J202+J184+J159+J143+J116)+1</f>
        <v>1210</v>
      </c>
      <c r="K221" s="48">
        <f>TRUNC(K202+K184+K159+K143+K116,0)+1</f>
        <v>80</v>
      </c>
      <c r="L221" s="48"/>
      <c r="M221" s="48"/>
      <c r="N221" s="48"/>
      <c r="O221" s="48"/>
      <c r="P221" s="48"/>
      <c r="Q221" s="48"/>
      <c r="R221" s="48"/>
      <c r="S221" s="48"/>
      <c r="T221" s="48"/>
      <c r="U221" s="90"/>
      <c r="V221" s="90"/>
      <c r="W221" s="49">
        <f aca="true" t="shared" si="26" ref="W221:W230">SUM(D221:U221)</f>
        <v>9457</v>
      </c>
      <c r="X221" s="72">
        <f>P2x6</f>
        <v>0.438</v>
      </c>
      <c r="Y221" s="50">
        <f t="shared" si="25"/>
        <v>4142.166</v>
      </c>
      <c r="Z221" s="52"/>
    </row>
    <row r="222" spans="2:26" ht="15">
      <c r="B222" s="47"/>
      <c r="C222" s="48">
        <v>8</v>
      </c>
      <c r="D222" s="48"/>
      <c r="E222" s="48"/>
      <c r="F222" s="48"/>
      <c r="G222" s="48"/>
      <c r="H222" s="48"/>
      <c r="I222" s="48"/>
      <c r="J222" s="48"/>
      <c r="K222" s="48"/>
      <c r="L222" s="48">
        <f>L203+L185+L160+L144+L117</f>
        <v>366</v>
      </c>
      <c r="M222" s="48"/>
      <c r="N222" s="48"/>
      <c r="R222" s="48"/>
      <c r="S222" s="48"/>
      <c r="T222" s="48"/>
      <c r="U222" s="90"/>
      <c r="V222" s="90"/>
      <c r="W222" s="49">
        <f t="shared" si="26"/>
        <v>366</v>
      </c>
      <c r="X222" s="72">
        <f>P2x8</f>
        <v>0.629</v>
      </c>
      <c r="Y222" s="50">
        <f t="shared" si="25"/>
        <v>230.214</v>
      </c>
      <c r="Z222" s="52"/>
    </row>
    <row r="223" spans="2:26" ht="15">
      <c r="B223" s="47"/>
      <c r="C223" s="48">
        <v>10</v>
      </c>
      <c r="D223" s="48"/>
      <c r="E223" s="48"/>
      <c r="F223" s="48"/>
      <c r="G223" s="48"/>
      <c r="H223" s="48"/>
      <c r="I223" s="48"/>
      <c r="J223" s="48"/>
      <c r="K223" s="48"/>
      <c r="L223" s="48"/>
      <c r="M223" s="48">
        <f>M204+M186+M161+M145+M118</f>
        <v>54</v>
      </c>
      <c r="N223" s="48"/>
      <c r="O223" s="48"/>
      <c r="P223" s="48"/>
      <c r="Q223" s="48"/>
      <c r="R223" s="48"/>
      <c r="S223" s="48"/>
      <c r="T223" s="48"/>
      <c r="U223" s="90"/>
      <c r="V223" s="90"/>
      <c r="W223" s="49">
        <f t="shared" si="26"/>
        <v>54</v>
      </c>
      <c r="X223" s="72">
        <f>P2x10</f>
        <v>0.778</v>
      </c>
      <c r="Y223" s="50">
        <f t="shared" si="25"/>
        <v>42.012</v>
      </c>
      <c r="Z223" s="52"/>
    </row>
    <row r="224" spans="2:26" ht="15">
      <c r="B224" s="47"/>
      <c r="C224" s="48">
        <v>12</v>
      </c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>
        <f>N205+N187+N162+N146+N119</f>
        <v>429</v>
      </c>
      <c r="O224" s="48"/>
      <c r="P224" s="48"/>
      <c r="Q224" s="48"/>
      <c r="S224" s="48"/>
      <c r="T224" s="48"/>
      <c r="U224" s="90"/>
      <c r="V224" s="90"/>
      <c r="W224" s="49">
        <f t="shared" si="26"/>
        <v>429</v>
      </c>
      <c r="X224" s="72">
        <f>P2x12</f>
        <v>0.9983333333333334</v>
      </c>
      <c r="Y224" s="50">
        <f t="shared" si="25"/>
        <v>428.285</v>
      </c>
      <c r="Z224" s="52"/>
    </row>
    <row r="225" spans="2:26" ht="15">
      <c r="B225" s="47"/>
      <c r="C225" s="48" t="s">
        <v>404</v>
      </c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>
        <f>O206+O185+O160+O144+O117</f>
        <v>1044</v>
      </c>
      <c r="P225" s="48"/>
      <c r="Q225" s="48"/>
      <c r="R225" s="48"/>
      <c r="S225" s="48"/>
      <c r="T225" s="48"/>
      <c r="U225" s="90"/>
      <c r="V225" s="90"/>
      <c r="W225" s="49">
        <f t="shared" si="26"/>
        <v>1044</v>
      </c>
      <c r="X225" s="72">
        <f>P2x8x18</f>
        <v>0.629</v>
      </c>
      <c r="Y225" s="50">
        <f t="shared" si="25"/>
        <v>656.676</v>
      </c>
      <c r="Z225" s="52"/>
    </row>
    <row r="226" spans="2:26" ht="15">
      <c r="B226" s="47"/>
      <c r="C226" s="48" t="s">
        <v>431</v>
      </c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99">
        <f>P207</f>
        <v>748</v>
      </c>
      <c r="R226" s="48"/>
      <c r="S226" s="48"/>
      <c r="T226" s="48"/>
      <c r="U226" s="90"/>
      <c r="V226" s="90"/>
      <c r="W226" s="49">
        <f t="shared" si="26"/>
        <v>748</v>
      </c>
      <c r="X226" s="72">
        <f>P2x8x22</f>
        <v>0.9</v>
      </c>
      <c r="Y226" s="50">
        <f t="shared" si="25"/>
        <v>673.2</v>
      </c>
      <c r="Z226" s="52"/>
    </row>
    <row r="227" spans="2:26" ht="15">
      <c r="B227" s="47"/>
      <c r="C227" s="48" t="s">
        <v>403</v>
      </c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>
        <f>Q208+Q185+Q160+Q144+Q117</f>
        <v>520</v>
      </c>
      <c r="R227" s="48"/>
      <c r="S227" s="48"/>
      <c r="T227" s="48"/>
      <c r="U227" s="90"/>
      <c r="V227" s="90"/>
      <c r="W227" s="90">
        <f>SUM(D227:U227)</f>
        <v>520</v>
      </c>
      <c r="X227" s="72">
        <f>P2x8x26</f>
        <v>1</v>
      </c>
      <c r="Y227" s="50">
        <f>X227*W227</f>
        <v>520</v>
      </c>
      <c r="Z227" s="52"/>
    </row>
    <row r="228" spans="2:26" ht="15">
      <c r="B228" s="47"/>
      <c r="C228" s="48" t="s">
        <v>405</v>
      </c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>
        <f>R209+R187+R162+R146+R119</f>
        <v>480</v>
      </c>
      <c r="S228" s="48"/>
      <c r="T228" s="48"/>
      <c r="U228" s="90"/>
      <c r="V228" s="90"/>
      <c r="W228" s="49">
        <f t="shared" si="26"/>
        <v>480</v>
      </c>
      <c r="X228" s="72">
        <f>P2x12x24</f>
        <v>1.4</v>
      </c>
      <c r="Y228" s="50">
        <f t="shared" si="25"/>
        <v>672</v>
      </c>
      <c r="Z228" s="52"/>
    </row>
    <row r="229" spans="2:26" ht="15">
      <c r="B229" s="47"/>
      <c r="C229" s="48" t="s">
        <v>390</v>
      </c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>
        <f>T210+T188+T163+T147+T120</f>
        <v>34</v>
      </c>
      <c r="U229" s="90"/>
      <c r="V229" s="90"/>
      <c r="W229" s="49">
        <f t="shared" si="26"/>
        <v>34</v>
      </c>
      <c r="X229" s="68">
        <f>Para5x11</f>
        <v>14</v>
      </c>
      <c r="Y229" s="50">
        <f t="shared" si="25"/>
        <v>476</v>
      </c>
      <c r="Z229" s="52"/>
    </row>
    <row r="230" spans="2:26" ht="15">
      <c r="B230" s="47"/>
      <c r="C230" s="48" t="s">
        <v>391</v>
      </c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90">
        <f>U211+U189+U164+U148+U121</f>
        <v>46</v>
      </c>
      <c r="V230" s="90"/>
      <c r="W230" s="49">
        <f t="shared" si="26"/>
        <v>46</v>
      </c>
      <c r="X230" s="72">
        <f>Para5x16</f>
        <v>19</v>
      </c>
      <c r="Y230" s="50">
        <f t="shared" si="25"/>
        <v>874</v>
      </c>
      <c r="Z230" s="52"/>
    </row>
    <row r="231" spans="2:26" ht="15.75" thickBot="1">
      <c r="B231" s="47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90"/>
      <c r="V231" s="90">
        <f>V177+V122</f>
        <v>224</v>
      </c>
      <c r="W231" s="90">
        <f>SUM(D231:V231)</f>
        <v>224</v>
      </c>
      <c r="X231" s="73">
        <f>PT2x8Sill</f>
        <v>0.8</v>
      </c>
      <c r="Y231" s="50">
        <f t="shared" si="25"/>
        <v>179.20000000000002</v>
      </c>
      <c r="Z231" s="52"/>
    </row>
    <row r="232" spans="2:26" ht="15.75" thickBot="1">
      <c r="B232" s="53" t="s">
        <v>420</v>
      </c>
      <c r="C232" s="54"/>
      <c r="D232" s="54">
        <f>SUM(D220:D230)</f>
        <v>384</v>
      </c>
      <c r="E232" s="54">
        <f aca="true" t="shared" si="27" ref="E232:R232">SUM(E220:E230)</f>
        <v>131</v>
      </c>
      <c r="F232" s="54">
        <f t="shared" si="27"/>
        <v>3664</v>
      </c>
      <c r="G232" s="54">
        <f t="shared" si="27"/>
        <v>2050</v>
      </c>
      <c r="H232" s="54">
        <f t="shared" si="27"/>
        <v>72</v>
      </c>
      <c r="I232" s="54">
        <f t="shared" si="27"/>
        <v>2381</v>
      </c>
      <c r="J232" s="54">
        <f t="shared" si="27"/>
        <v>1210</v>
      </c>
      <c r="K232" s="54">
        <f t="shared" si="27"/>
        <v>80</v>
      </c>
      <c r="L232" s="54">
        <f t="shared" si="27"/>
        <v>366</v>
      </c>
      <c r="M232" s="54">
        <f t="shared" si="27"/>
        <v>54</v>
      </c>
      <c r="N232" s="54">
        <f t="shared" si="27"/>
        <v>429</v>
      </c>
      <c r="O232" s="54">
        <f t="shared" si="27"/>
        <v>1044</v>
      </c>
      <c r="P232" s="54"/>
      <c r="Q232" s="54">
        <f t="shared" si="27"/>
        <v>520</v>
      </c>
      <c r="R232" s="54">
        <f t="shared" si="27"/>
        <v>480</v>
      </c>
      <c r="S232" s="54">
        <f>SUM(S220:S230)</f>
        <v>0</v>
      </c>
      <c r="T232" s="54">
        <f>SUM(T220:T230)</f>
        <v>34</v>
      </c>
      <c r="U232" s="54">
        <f>SUM(U220:U230)</f>
        <v>46</v>
      </c>
      <c r="V232" s="103">
        <f>SUM(V220:V231)</f>
        <v>224</v>
      </c>
      <c r="W232" s="55"/>
      <c r="X232" s="73"/>
      <c r="Y232" s="56"/>
      <c r="Z232" s="57">
        <f>SUM(Y220:Y231)</f>
        <v>9046.9655</v>
      </c>
    </row>
    <row r="233" spans="2:22" ht="15">
      <c r="B233" t="s">
        <v>419</v>
      </c>
      <c r="D233">
        <f>D232/D218</f>
        <v>48</v>
      </c>
      <c r="E233">
        <f aca="true" t="shared" si="28" ref="E233:R233">E232/E218</f>
        <v>131</v>
      </c>
      <c r="F233">
        <f t="shared" si="28"/>
        <v>458</v>
      </c>
      <c r="G233">
        <f t="shared" si="28"/>
        <v>205</v>
      </c>
      <c r="H233">
        <f t="shared" si="28"/>
        <v>6</v>
      </c>
      <c r="I233">
        <f t="shared" si="28"/>
        <v>2381</v>
      </c>
      <c r="J233">
        <f t="shared" si="28"/>
        <v>1210</v>
      </c>
      <c r="K233">
        <f t="shared" si="28"/>
        <v>26.666666666666668</v>
      </c>
      <c r="L233">
        <f t="shared" si="28"/>
        <v>122</v>
      </c>
      <c r="M233">
        <f t="shared" si="28"/>
        <v>18</v>
      </c>
      <c r="N233">
        <f t="shared" si="28"/>
        <v>143</v>
      </c>
      <c r="O233">
        <f t="shared" si="28"/>
        <v>58</v>
      </c>
      <c r="P233"/>
      <c r="Q233">
        <f t="shared" si="28"/>
        <v>20</v>
      </c>
      <c r="R233">
        <f t="shared" si="28"/>
        <v>20</v>
      </c>
      <c r="T233">
        <f>T220/T218</f>
        <v>0</v>
      </c>
      <c r="U233">
        <f>U220/U218</f>
        <v>0</v>
      </c>
      <c r="V233"/>
    </row>
    <row r="235" ht="15">
      <c r="A235" t="s">
        <v>372</v>
      </c>
    </row>
    <row r="236" spans="2:26" ht="15">
      <c r="B236">
        <f>(46*2+40*2)*22+40*12*2+24*10/2+10*10+32*15+40*17/2</f>
        <v>5784</v>
      </c>
      <c r="Z236" s="31"/>
    </row>
    <row r="240" spans="8:9" ht="15">
      <c r="H240" s="33"/>
      <c r="I240" s="33"/>
    </row>
    <row r="241" spans="8:9" ht="15">
      <c r="H241" s="33"/>
      <c r="I241" s="33"/>
    </row>
    <row r="242" spans="1:25" ht="32.25" customHeight="1">
      <c r="A242" t="s">
        <v>320</v>
      </c>
      <c r="F242" t="s">
        <v>204</v>
      </c>
      <c r="H242" s="83" t="s">
        <v>204</v>
      </c>
      <c r="J242" s="83" t="s">
        <v>406</v>
      </c>
      <c r="U242" s="66" t="s">
        <v>345</v>
      </c>
      <c r="V242" s="98"/>
      <c r="W242" s="15" t="s">
        <v>346</v>
      </c>
      <c r="X242" s="76" t="s">
        <v>347</v>
      </c>
      <c r="Y242" s="15" t="s">
        <v>399</v>
      </c>
    </row>
    <row r="243" spans="2:25" ht="30" customHeight="1">
      <c r="B243" t="s">
        <v>321</v>
      </c>
      <c r="H243" s="33">
        <f>'Roof INfo'!J21</f>
        <v>3586.658351271065</v>
      </c>
      <c r="J243" s="33">
        <f>H243/4/8</f>
        <v>112.08307347722078</v>
      </c>
      <c r="U243" s="38">
        <f>H243*SH_OSB</f>
        <v>781.2190221362288</v>
      </c>
      <c r="V243" s="38"/>
      <c r="W243" s="61">
        <f>H243*SH_PLHalf</f>
        <v>1314.7344518877999</v>
      </c>
      <c r="X243" s="70">
        <f>$H243*SH_PL_TQ</f>
        <v>2120.611750189017</v>
      </c>
      <c r="Y243" s="61">
        <f>$H243*ADV_TQ_TG</f>
        <v>2447.894324742502</v>
      </c>
    </row>
    <row r="244" spans="2:25" ht="15">
      <c r="B244" t="s">
        <v>322</v>
      </c>
      <c r="F244" s="33">
        <f>22*46</f>
        <v>1012</v>
      </c>
      <c r="H244" s="33"/>
      <c r="I244" s="33"/>
      <c r="U244" s="83"/>
      <c r="W244"/>
      <c r="Y244" s="23"/>
    </row>
    <row r="245" spans="2:23" ht="15">
      <c r="B245" t="s">
        <v>323</v>
      </c>
      <c r="F245" s="33">
        <f>22*46+26*4</f>
        <v>1116</v>
      </c>
      <c r="H245" s="33"/>
      <c r="I245" s="33"/>
      <c r="U245" s="83"/>
      <c r="W245"/>
    </row>
    <row r="246" spans="2:23" ht="15">
      <c r="B246" t="s">
        <v>324</v>
      </c>
      <c r="F246" s="33">
        <f>40*22+16^2*10/12</f>
        <v>1093.3333333333333</v>
      </c>
      <c r="H246" s="33"/>
      <c r="I246" s="33"/>
      <c r="U246" s="83"/>
      <c r="W246"/>
    </row>
    <row r="247" spans="2:23" ht="15">
      <c r="B247" t="s">
        <v>325</v>
      </c>
      <c r="F247" s="33">
        <f>22*40+8*20+4/12*20^2/2+10/12*20^2/2</f>
        <v>1273.3333333333335</v>
      </c>
      <c r="H247" s="33"/>
      <c r="I247" s="33"/>
      <c r="U247" s="83"/>
      <c r="W247"/>
    </row>
    <row r="248" spans="2:23" ht="15">
      <c r="B248" t="s">
        <v>326</v>
      </c>
      <c r="F248" s="33">
        <f>10*24-2*9*8+24*12/2</f>
        <v>240</v>
      </c>
      <c r="H248" s="33"/>
      <c r="I248" s="33"/>
      <c r="U248" s="83"/>
      <c r="W248"/>
    </row>
    <row r="249" spans="2:23" ht="15">
      <c r="B249" t="s">
        <v>327</v>
      </c>
      <c r="F249" s="33">
        <v>100</v>
      </c>
      <c r="H249" s="33"/>
      <c r="I249" s="33"/>
      <c r="U249" s="83"/>
      <c r="W249"/>
    </row>
    <row r="250" spans="2:23" ht="15">
      <c r="B250" t="s">
        <v>328</v>
      </c>
      <c r="F250" s="33">
        <f>16*9+16*12</f>
        <v>336</v>
      </c>
      <c r="H250" s="33"/>
      <c r="I250" s="33"/>
      <c r="U250" s="83"/>
      <c r="W250"/>
    </row>
    <row r="251" spans="2:23" ht="15">
      <c r="B251" t="s">
        <v>329</v>
      </c>
      <c r="F251" s="33">
        <f>16*10+24*4</f>
        <v>256</v>
      </c>
      <c r="H251" s="33"/>
      <c r="I251" s="33"/>
      <c r="U251" s="83"/>
      <c r="W251"/>
    </row>
    <row r="252" spans="2:23" ht="15">
      <c r="B252" t="s">
        <v>373</v>
      </c>
      <c r="F252" s="33">
        <v>480</v>
      </c>
      <c r="H252" s="33"/>
      <c r="I252" s="33"/>
      <c r="U252" s="83"/>
      <c r="W252"/>
    </row>
    <row r="253" spans="2:26" ht="15">
      <c r="B253" t="s">
        <v>341</v>
      </c>
      <c r="F253" s="33">
        <f>8*(48+12)+12*6/2</f>
        <v>516</v>
      </c>
      <c r="H253" s="33"/>
      <c r="I253" s="33"/>
      <c r="U253" s="66" t="s">
        <v>345</v>
      </c>
      <c r="V253" s="98"/>
      <c r="W253" s="15" t="s">
        <v>346</v>
      </c>
      <c r="X253" s="76" t="s">
        <v>347</v>
      </c>
      <c r="Y253" s="15" t="s">
        <v>399</v>
      </c>
      <c r="Z253" s="58" t="s">
        <v>365</v>
      </c>
    </row>
    <row r="254" spans="6:26" ht="15">
      <c r="F254" s="33"/>
      <c r="H254" s="33">
        <f>SUM(F244:F251)</f>
        <v>5426.666666666666</v>
      </c>
      <c r="I254" s="33"/>
      <c r="J254" s="42">
        <f>H254/4/8</f>
        <v>169.58333333333331</v>
      </c>
      <c r="U254" s="38">
        <f>H254*SH_OSB</f>
        <v>1181.9958333333332</v>
      </c>
      <c r="V254" s="38"/>
      <c r="W254" s="61">
        <f>H254*SH_PLHalf</f>
        <v>1989.2124999999999</v>
      </c>
      <c r="X254" s="70">
        <f>H254*SH_PL_TQ</f>
        <v>3208.5166666666664</v>
      </c>
      <c r="Y254" s="61">
        <f>$H254*ADV_TQ_TG</f>
        <v>3703.6999999999994</v>
      </c>
      <c r="Z254" s="61">
        <f>(H254-F253)*Tyvec</f>
        <v>567.4548148148148</v>
      </c>
    </row>
    <row r="255" spans="6:25" ht="15">
      <c r="F255" s="33"/>
      <c r="H255" s="33"/>
      <c r="I255" s="33"/>
      <c r="Y255" s="23">
        <f>J254*22</f>
        <v>3730.833333333333</v>
      </c>
    </row>
    <row r="256" spans="6:11" ht="15">
      <c r="F256" s="33"/>
      <c r="H256" s="33"/>
      <c r="I256" s="33">
        <f>SUM(H243:H254)</f>
        <v>9013.325017937732</v>
      </c>
      <c r="K256" s="84">
        <f>I256/4/8</f>
        <v>281.6664068105541</v>
      </c>
    </row>
    <row r="257" spans="1:8" ht="15">
      <c r="A257" t="s">
        <v>330</v>
      </c>
      <c r="B257" t="s">
        <v>331</v>
      </c>
      <c r="F257" s="33">
        <f>20*32+26*40-8*4</f>
        <v>1648</v>
      </c>
      <c r="H257" s="33"/>
    </row>
    <row r="258" spans="2:8" ht="15">
      <c r="B258" t="s">
        <v>332</v>
      </c>
      <c r="F258" s="33">
        <f>20*32+26*40-8*4</f>
        <v>1648</v>
      </c>
      <c r="H258" s="33"/>
    </row>
    <row r="259" spans="2:9" ht="15">
      <c r="B259" t="s">
        <v>333</v>
      </c>
      <c r="F259" s="33">
        <f>26*40-8*10</f>
        <v>960</v>
      </c>
      <c r="H259" s="33"/>
      <c r="I259" s="33"/>
    </row>
    <row r="260" spans="2:26" ht="30">
      <c r="B260" t="s">
        <v>334</v>
      </c>
      <c r="F260" s="33">
        <f>12^2*10/12+2*24</f>
        <v>168</v>
      </c>
      <c r="H260" s="33"/>
      <c r="U260" s="66" t="s">
        <v>349</v>
      </c>
      <c r="V260" s="98"/>
      <c r="W260" s="58"/>
      <c r="X260" s="77" t="s">
        <v>382</v>
      </c>
      <c r="Y260" s="15" t="s">
        <v>399</v>
      </c>
      <c r="Z260" s="15" t="s">
        <v>351</v>
      </c>
    </row>
    <row r="261" spans="6:26" ht="15">
      <c r="F261" s="33"/>
      <c r="H261" s="33">
        <f>SUM(F257:F260)</f>
        <v>4424</v>
      </c>
      <c r="K261" s="83">
        <f>H261/4/8</f>
        <v>138.25</v>
      </c>
      <c r="U261" s="38">
        <f>$H261*OSB_TQ_TG</f>
        <v>1473.7450000000001</v>
      </c>
      <c r="V261" s="38"/>
      <c r="W261" s="38"/>
      <c r="X261" s="70">
        <f>H261*PLY_TQ_TG</f>
        <v>2812.005</v>
      </c>
      <c r="Y261" s="61">
        <f>$H261*ADV_TQ_TG</f>
        <v>3019.38</v>
      </c>
      <c r="Z261" s="28">
        <f>H261*Luan5.2</f>
        <v>1421.2099999999998</v>
      </c>
    </row>
    <row r="262" spans="6:24" ht="15">
      <c r="F262" s="33"/>
      <c r="H262" s="33"/>
      <c r="U262" s="83"/>
      <c r="X262" s="25"/>
    </row>
    <row r="263" spans="21:24" ht="15">
      <c r="U263" s="83"/>
      <c r="X263" s="25"/>
    </row>
    <row r="264" spans="21:25" ht="15">
      <c r="U264" s="83" t="s">
        <v>354</v>
      </c>
      <c r="W264" t="s">
        <v>383</v>
      </c>
      <c r="X264" s="68" t="s">
        <v>355</v>
      </c>
      <c r="Y264" t="s">
        <v>398</v>
      </c>
    </row>
    <row r="265" spans="2:25" s="26" customFormat="1" ht="15">
      <c r="B265" s="26" t="s">
        <v>314</v>
      </c>
      <c r="L265" s="26">
        <f>TotalIJoists</f>
        <v>3209</v>
      </c>
      <c r="U265" s="36">
        <f>Y95</f>
        <v>6418</v>
      </c>
      <c r="V265" s="92"/>
      <c r="W265" s="62">
        <f>U265</f>
        <v>6418</v>
      </c>
      <c r="X265" s="78">
        <f aca="true" t="shared" si="29" ref="X265:Y267">W265</f>
        <v>6418</v>
      </c>
      <c r="Y265" s="65">
        <f t="shared" si="29"/>
        <v>6418</v>
      </c>
    </row>
    <row r="266" spans="2:25" s="26" customFormat="1" ht="15">
      <c r="B266" s="26" t="s">
        <v>313</v>
      </c>
      <c r="L266" s="26">
        <f>W93</f>
        <v>742</v>
      </c>
      <c r="U266" s="94">
        <f>X93</f>
        <v>1484</v>
      </c>
      <c r="V266" s="94"/>
      <c r="W266" s="62">
        <f>U266</f>
        <v>1484</v>
      </c>
      <c r="X266" s="78">
        <f t="shared" si="29"/>
        <v>1484</v>
      </c>
      <c r="Y266" s="65">
        <f t="shared" si="29"/>
        <v>1484</v>
      </c>
    </row>
    <row r="267" spans="2:25" ht="15">
      <c r="B267" t="s">
        <v>312</v>
      </c>
      <c r="U267" s="83">
        <f>Z214</f>
        <v>9046.238272296567</v>
      </c>
      <c r="W267" s="62">
        <f>U267</f>
        <v>9046.238272296567</v>
      </c>
      <c r="X267" s="78">
        <f t="shared" si="29"/>
        <v>9046.238272296567</v>
      </c>
      <c r="Y267" s="65">
        <f t="shared" si="29"/>
        <v>9046.238272296567</v>
      </c>
    </row>
    <row r="268" spans="10:25" ht="15">
      <c r="J268" s="83"/>
      <c r="O268" s="83"/>
      <c r="Q268" s="83"/>
      <c r="R268" s="83"/>
      <c r="U268" s="83"/>
      <c r="W268" s="65"/>
      <c r="X268" s="78"/>
      <c r="Y268" s="65"/>
    </row>
    <row r="269" spans="10:25" ht="15">
      <c r="J269" s="83"/>
      <c r="O269" s="83"/>
      <c r="Q269" s="83"/>
      <c r="R269" s="83"/>
      <c r="U269" s="85">
        <f>SUM(U265:U267)</f>
        <v>16948.238272296567</v>
      </c>
      <c r="W269" s="65"/>
      <c r="X269" s="78"/>
      <c r="Y269" s="65"/>
    </row>
    <row r="270" spans="10:25" ht="15">
      <c r="J270" s="83"/>
      <c r="O270" s="83"/>
      <c r="Q270" s="83"/>
      <c r="R270" s="83"/>
      <c r="U270" s="83"/>
      <c r="W270" s="65"/>
      <c r="X270" s="78"/>
      <c r="Y270" s="65"/>
    </row>
    <row r="271" spans="10:25" ht="15">
      <c r="J271" s="83"/>
      <c r="O271" s="83"/>
      <c r="Q271" s="83"/>
      <c r="R271" s="83"/>
      <c r="U271" s="83"/>
      <c r="W271" s="65"/>
      <c r="X271" s="78"/>
      <c r="Y271" s="65"/>
    </row>
    <row r="272" spans="21:25" ht="15">
      <c r="U272" s="83"/>
      <c r="W272" s="63"/>
      <c r="X272" s="25"/>
      <c r="Y272" s="64"/>
    </row>
    <row r="273" spans="2:25" ht="15">
      <c r="B273" t="s">
        <v>353</v>
      </c>
      <c r="U273" s="83">
        <f>U254</f>
        <v>1181.9958333333332</v>
      </c>
      <c r="W273" s="63">
        <f>W254</f>
        <v>1989.2124999999999</v>
      </c>
      <c r="X273" s="25">
        <f>X254</f>
        <v>3208.5166666666664</v>
      </c>
      <c r="Y273" s="64">
        <f>Y254</f>
        <v>3703.6999999999994</v>
      </c>
    </row>
    <row r="274" spans="2:26" ht="15">
      <c r="B274" t="s">
        <v>371</v>
      </c>
      <c r="U274" s="83">
        <f>Z254</f>
        <v>567.4548148148148</v>
      </c>
      <c r="W274" s="64">
        <f>U274</f>
        <v>567.4548148148148</v>
      </c>
      <c r="X274" s="25">
        <f>W274</f>
        <v>567.4548148148148</v>
      </c>
      <c r="Y274" s="64">
        <f>X274</f>
        <v>567.4548148148148</v>
      </c>
      <c r="Z274" s="31"/>
    </row>
    <row r="275" spans="2:25" ht="15">
      <c r="B275" t="s">
        <v>315</v>
      </c>
      <c r="U275" s="83">
        <f>U243</f>
        <v>781.2190221362288</v>
      </c>
      <c r="W275" s="64">
        <f>W243</f>
        <v>1314.7344518877999</v>
      </c>
      <c r="X275" s="25">
        <f>X243</f>
        <v>2120.611750189017</v>
      </c>
      <c r="Y275" s="64">
        <f>Y243</f>
        <v>2447.894324742502</v>
      </c>
    </row>
    <row r="276" spans="2:25" ht="15">
      <c r="B276" t="s">
        <v>316</v>
      </c>
      <c r="U276" s="83">
        <f>U261</f>
        <v>1473.7450000000001</v>
      </c>
      <c r="W276" s="64">
        <f>X261</f>
        <v>2812.005</v>
      </c>
      <c r="X276" s="25">
        <f>X261</f>
        <v>2812.005</v>
      </c>
      <c r="Y276" s="64">
        <f>Y261</f>
        <v>3019.38</v>
      </c>
    </row>
    <row r="277" spans="2:25" ht="15">
      <c r="B277" t="s">
        <v>350</v>
      </c>
      <c r="U277" s="83">
        <f>Z261</f>
        <v>1421.2099999999998</v>
      </c>
      <c r="W277" s="64">
        <f>U277</f>
        <v>1421.2099999999998</v>
      </c>
      <c r="X277" s="25">
        <f>W277</f>
        <v>1421.2099999999998</v>
      </c>
      <c r="Y277" s="64">
        <f>X277</f>
        <v>1421.2099999999998</v>
      </c>
    </row>
    <row r="278" spans="2:25" ht="15">
      <c r="B278" t="s">
        <v>364</v>
      </c>
      <c r="U278" s="83">
        <f>I287*4*12*DRY4x12</f>
        <v>2497.6</v>
      </c>
      <c r="W278" s="64">
        <f>U278</f>
        <v>2497.6</v>
      </c>
      <c r="X278" s="25">
        <f>U278</f>
        <v>2497.6</v>
      </c>
      <c r="Y278" s="87">
        <f>U278</f>
        <v>2497.6</v>
      </c>
    </row>
    <row r="279" spans="21:24" ht="15">
      <c r="U279" s="83"/>
      <c r="W279" s="64"/>
      <c r="X279" s="25"/>
    </row>
    <row r="280" spans="21:24" ht="15">
      <c r="U280" s="83"/>
      <c r="W280" s="64"/>
      <c r="X280" s="25"/>
    </row>
    <row r="281" spans="21:25" ht="15">
      <c r="U281" s="83">
        <f>SUM(U265:U277)</f>
        <v>39322.10121487751</v>
      </c>
      <c r="W281" s="64">
        <f>SUM(W265:W277)</f>
        <v>25052.855038999183</v>
      </c>
      <c r="X281" s="25">
        <f>SUM(X265:X277)</f>
        <v>27078.036503967065</v>
      </c>
      <c r="Y281" s="64">
        <f>SUM(Y265:Y277)</f>
        <v>28107.877411853882</v>
      </c>
    </row>
    <row r="282" spans="23:24" ht="15">
      <c r="W282" s="64"/>
      <c r="X282" s="25"/>
    </row>
    <row r="284" spans="6:10" ht="15">
      <c r="F284" t="s">
        <v>416</v>
      </c>
      <c r="H284" t="s">
        <v>354</v>
      </c>
      <c r="I284" t="s">
        <v>417</v>
      </c>
      <c r="J284" s="85" t="s">
        <v>418</v>
      </c>
    </row>
    <row r="285" spans="2:6" ht="15">
      <c r="B285" t="s">
        <v>407</v>
      </c>
      <c r="F285" s="5">
        <f>K256+K261</f>
        <v>419.9164068105541</v>
      </c>
    </row>
    <row r="286" spans="2:8" ht="15">
      <c r="B286" t="s">
        <v>408</v>
      </c>
      <c r="F286" s="5">
        <f>K261+J243</f>
        <v>250.33307347722078</v>
      </c>
      <c r="H286" s="5">
        <f>J254</f>
        <v>169.58333333333331</v>
      </c>
    </row>
    <row r="287" spans="2:9" ht="15">
      <c r="B287" t="s">
        <v>409</v>
      </c>
      <c r="I287">
        <f>'ROom-FLoor Dimensions'!S44</f>
        <v>280</v>
      </c>
    </row>
    <row r="288" spans="2:10" ht="15">
      <c r="B288" t="s">
        <v>418</v>
      </c>
      <c r="J288" s="33">
        <f>K261</f>
        <v>138.25</v>
      </c>
    </row>
  </sheetData>
  <sheetProtection/>
  <mergeCells count="2">
    <mergeCell ref="F8:J8"/>
    <mergeCell ref="F16:J16"/>
  </mergeCells>
  <printOptions/>
  <pageMargins left="0.7" right="0.7" top="0.75" bottom="0.75" header="0.3" footer="0.3"/>
  <pageSetup fitToHeight="0" fitToWidth="1" horizontalDpi="600" verticalDpi="600" orientation="landscape" scale="43" r:id="rId1"/>
  <rowBreaks count="5" manualBreakCount="5">
    <brk id="46" max="23" man="1"/>
    <brk id="100" max="23" man="1"/>
    <brk id="149" max="23" man="1"/>
    <brk id="216" max="23" man="1"/>
    <brk id="270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I24"/>
  <sheetViews>
    <sheetView zoomScalePageLayoutView="0" workbookViewId="0" topLeftCell="A1">
      <selection activeCell="M11" sqref="M11"/>
    </sheetView>
  </sheetViews>
  <sheetFormatPr defaultColWidth="9.140625" defaultRowHeight="15"/>
  <cols>
    <col min="2" max="2" width="9.28125" style="0" bestFit="1" customWidth="1"/>
    <col min="4" max="4" width="9.28125" style="0" bestFit="1" customWidth="1"/>
    <col min="5" max="5" width="10.57421875" style="0" bestFit="1" customWidth="1"/>
    <col min="6" max="6" width="9.57421875" style="0" bestFit="1" customWidth="1"/>
    <col min="7" max="7" width="11.57421875" style="0" bestFit="1" customWidth="1"/>
    <col min="8" max="8" width="9.57421875" style="0" bestFit="1" customWidth="1"/>
    <col min="9" max="9" width="11.57421875" style="0" bestFit="1" customWidth="1"/>
  </cols>
  <sheetData>
    <row r="3" spans="1:9" ht="15">
      <c r="A3" t="s">
        <v>206</v>
      </c>
      <c r="D3" t="s">
        <v>205</v>
      </c>
      <c r="F3" t="s">
        <v>52</v>
      </c>
      <c r="H3" t="s">
        <v>208</v>
      </c>
      <c r="I3" t="s">
        <v>209</v>
      </c>
    </row>
    <row r="4" spans="4:8" ht="15">
      <c r="D4">
        <f>24*12/144</f>
        <v>2</v>
      </c>
      <c r="F4">
        <f>12*120/144</f>
        <v>10</v>
      </c>
      <c r="H4" t="s">
        <v>204</v>
      </c>
    </row>
    <row r="5" spans="2:9" ht="15">
      <c r="B5" s="10">
        <v>46</v>
      </c>
      <c r="C5" s="10"/>
      <c r="D5" s="10"/>
      <c r="E5" s="10"/>
      <c r="F5" s="10"/>
      <c r="G5" s="10"/>
      <c r="H5" s="10"/>
      <c r="I5" s="10"/>
    </row>
    <row r="6" spans="2:9" ht="15">
      <c r="B6" s="10">
        <v>39</v>
      </c>
      <c r="C6" s="10"/>
      <c r="D6" s="10"/>
      <c r="E6" s="10"/>
      <c r="F6" s="10"/>
      <c r="G6" s="10"/>
      <c r="H6" s="10"/>
      <c r="I6" s="10"/>
    </row>
    <row r="7" spans="2:9" ht="15">
      <c r="B7" s="10">
        <f>SUM(B5:B6)</f>
        <v>85</v>
      </c>
      <c r="C7" s="10"/>
      <c r="D7" s="10"/>
      <c r="E7" s="10"/>
      <c r="F7" s="10"/>
      <c r="G7" s="10"/>
      <c r="H7" s="10"/>
      <c r="I7" s="10"/>
    </row>
    <row r="8" spans="2:9" ht="15">
      <c r="B8" s="10">
        <v>170</v>
      </c>
      <c r="C8" s="10" t="s">
        <v>207</v>
      </c>
      <c r="D8" s="10">
        <f>D4*B8</f>
        <v>340</v>
      </c>
      <c r="E8" s="10">
        <f>D8/27</f>
        <v>12.592592592592593</v>
      </c>
      <c r="F8" s="10">
        <f>F4*B8</f>
        <v>1700</v>
      </c>
      <c r="G8" s="10">
        <f>F8/27</f>
        <v>62.96296296296296</v>
      </c>
      <c r="H8" s="10">
        <f>F8+D8</f>
        <v>2040</v>
      </c>
      <c r="I8" s="10">
        <f>H8/27</f>
        <v>75.55555555555556</v>
      </c>
    </row>
    <row r="9" spans="1:9" ht="15">
      <c r="A9" t="s">
        <v>211</v>
      </c>
      <c r="C9" s="10"/>
      <c r="D9" s="10">
        <f>4*9</f>
        <v>36</v>
      </c>
      <c r="E9" s="10">
        <f>D9/27</f>
        <v>1.3333333333333333</v>
      </c>
      <c r="F9" s="10"/>
      <c r="G9" s="10"/>
      <c r="H9" s="10"/>
      <c r="I9" s="10"/>
    </row>
    <row r="10" spans="2:9" ht="15">
      <c r="B10" s="10"/>
      <c r="C10" s="10"/>
      <c r="D10" s="10"/>
      <c r="E10" s="10"/>
      <c r="F10" s="10"/>
      <c r="G10" s="10"/>
      <c r="H10" s="10"/>
      <c r="I10" s="10"/>
    </row>
    <row r="11" spans="1:9" ht="15">
      <c r="A11" t="s">
        <v>210</v>
      </c>
      <c r="B11" s="10"/>
      <c r="C11" s="10"/>
      <c r="D11" s="10">
        <f>D4</f>
        <v>2</v>
      </c>
      <c r="E11" s="10"/>
      <c r="F11" s="10">
        <f>8/12*9</f>
        <v>6</v>
      </c>
      <c r="G11" s="10"/>
      <c r="H11" s="10"/>
      <c r="I11" s="10"/>
    </row>
    <row r="12" spans="2:9" ht="15">
      <c r="B12" s="10">
        <f>8+5+8</f>
        <v>21</v>
      </c>
      <c r="C12" s="10"/>
      <c r="D12" s="10">
        <f>$B12*D11</f>
        <v>42</v>
      </c>
      <c r="E12" s="10">
        <f>D12/27</f>
        <v>1.5555555555555556</v>
      </c>
      <c r="F12" s="10">
        <f>$B12*F11</f>
        <v>126</v>
      </c>
      <c r="G12" s="10">
        <f>F12/27</f>
        <v>4.666666666666667</v>
      </c>
      <c r="H12" s="10">
        <f>F12+D12</f>
        <v>168</v>
      </c>
      <c r="I12" s="10">
        <f>H12/27</f>
        <v>6.222222222222222</v>
      </c>
    </row>
    <row r="13" spans="2:9" ht="15">
      <c r="B13" s="10"/>
      <c r="C13" s="10"/>
      <c r="D13" s="10"/>
      <c r="E13" s="10"/>
      <c r="F13" s="10"/>
      <c r="G13" s="10"/>
      <c r="H13" s="10"/>
      <c r="I13" s="10"/>
    </row>
    <row r="14" spans="1:9" ht="15">
      <c r="A14" t="s">
        <v>71</v>
      </c>
      <c r="B14" s="10">
        <v>40</v>
      </c>
      <c r="C14" s="10"/>
      <c r="D14" s="10">
        <v>2</v>
      </c>
      <c r="E14" s="10"/>
      <c r="F14" s="10">
        <f>4*8/12</f>
        <v>2.6666666666666665</v>
      </c>
      <c r="G14" s="10"/>
      <c r="H14" s="10"/>
      <c r="I14" s="10"/>
    </row>
    <row r="15" spans="2:9" ht="15">
      <c r="B15" s="10">
        <v>24</v>
      </c>
      <c r="C15" s="10"/>
      <c r="D15" s="10"/>
      <c r="E15" s="10"/>
      <c r="F15" s="10"/>
      <c r="G15" s="10"/>
      <c r="H15" s="10"/>
      <c r="I15" s="10"/>
    </row>
    <row r="16" spans="2:9" ht="15">
      <c r="B16" s="10">
        <v>9</v>
      </c>
      <c r="C16" s="10"/>
      <c r="D16" s="10"/>
      <c r="E16" s="10"/>
      <c r="F16" s="10"/>
      <c r="G16" s="10"/>
      <c r="H16" s="10"/>
      <c r="I16" s="10"/>
    </row>
    <row r="17" spans="2:9" ht="15">
      <c r="B17" s="10">
        <f>SUM(B14:B16)</f>
        <v>73</v>
      </c>
      <c r="C17" s="10"/>
      <c r="D17" s="10">
        <f>$B17*D14</f>
        <v>146</v>
      </c>
      <c r="E17" s="10">
        <f>D17/27</f>
        <v>5.407407407407407</v>
      </c>
      <c r="F17" s="10">
        <f>$B17*F14</f>
        <v>194.66666666666666</v>
      </c>
      <c r="G17" s="10">
        <f>F17/27</f>
        <v>7.209876543209877</v>
      </c>
      <c r="H17" s="10">
        <f>F17+D17</f>
        <v>340.66666666666663</v>
      </c>
      <c r="I17" s="10">
        <f>H17/27</f>
        <v>12.617283950617283</v>
      </c>
    </row>
    <row r="18" spans="2:9" ht="15">
      <c r="B18" s="10"/>
      <c r="C18" s="10"/>
      <c r="D18" s="10"/>
      <c r="E18" s="10"/>
      <c r="F18" s="10"/>
      <c r="G18" s="10"/>
      <c r="H18" s="10"/>
      <c r="I18" s="10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1:9" ht="15.75" thickBot="1">
      <c r="A20" t="s">
        <v>209</v>
      </c>
      <c r="B20" s="10"/>
      <c r="C20" s="10"/>
      <c r="D20" s="10"/>
      <c r="E20" s="11">
        <f>SUM(E8:E17)</f>
        <v>20.88888888888889</v>
      </c>
      <c r="F20" s="10"/>
      <c r="G20" s="12">
        <f>SUM(G8:G17)</f>
        <v>74.8395061728395</v>
      </c>
      <c r="H20" s="10"/>
      <c r="I20" s="10">
        <f>SUM(I4:I18)</f>
        <v>94.39506172839506</v>
      </c>
    </row>
    <row r="22" spans="5:7" ht="15">
      <c r="E22" s="13">
        <v>109</v>
      </c>
      <c r="G22" s="13">
        <v>160</v>
      </c>
    </row>
    <row r="24" spans="5:9" ht="15">
      <c r="E24" s="13">
        <f>E22*E20</f>
        <v>2276.888888888889</v>
      </c>
      <c r="G24" s="13">
        <f>G22*G20</f>
        <v>11974.32098765432</v>
      </c>
      <c r="I24" s="13">
        <f>SUM(E24:G24)</f>
        <v>14251.20987654321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G17" sqref="G17"/>
    </sheetView>
  </sheetViews>
  <sheetFormatPr defaultColWidth="9.140625" defaultRowHeight="15"/>
  <cols>
    <col min="2" max="2" width="14.28125" style="0" bestFit="1" customWidth="1"/>
    <col min="3" max="3" width="11.28125" style="0" customWidth="1"/>
  </cols>
  <sheetData>
    <row r="1" spans="1:13" ht="30">
      <c r="A1" t="s">
        <v>223</v>
      </c>
      <c r="D1" t="s">
        <v>225</v>
      </c>
      <c r="E1" t="s">
        <v>226</v>
      </c>
      <c r="F1" t="s">
        <v>357</v>
      </c>
      <c r="G1" t="s">
        <v>227</v>
      </c>
      <c r="H1" t="s">
        <v>228</v>
      </c>
      <c r="I1" t="s">
        <v>229</v>
      </c>
      <c r="K1" s="15" t="s">
        <v>235</v>
      </c>
      <c r="L1" s="15" t="s">
        <v>198</v>
      </c>
      <c r="M1" t="s">
        <v>236</v>
      </c>
    </row>
    <row r="2" spans="11:13" ht="15">
      <c r="K2" s="16"/>
      <c r="L2" s="14"/>
      <c r="M2" s="17"/>
    </row>
    <row r="3" spans="1:13" ht="15">
      <c r="A3" t="s">
        <v>242</v>
      </c>
      <c r="B3" s="14">
        <f>2+5/16</f>
        <v>2.3125</v>
      </c>
      <c r="C3">
        <v>9.5</v>
      </c>
      <c r="D3">
        <v>2.7</v>
      </c>
      <c r="E3">
        <v>3330</v>
      </c>
      <c r="F3">
        <v>206</v>
      </c>
      <c r="G3">
        <v>1330</v>
      </c>
      <c r="H3">
        <v>1060</v>
      </c>
      <c r="I3">
        <v>2410</v>
      </c>
      <c r="K3" s="16"/>
      <c r="L3" s="14"/>
      <c r="M3" s="17"/>
    </row>
    <row r="4" spans="1:13" ht="15">
      <c r="A4" t="s">
        <v>224</v>
      </c>
      <c r="B4" s="14">
        <f>2+5/16</f>
        <v>2.3125</v>
      </c>
      <c r="C4">
        <v>11.875</v>
      </c>
      <c r="D4">
        <v>3</v>
      </c>
      <c r="E4">
        <v>6180</v>
      </c>
      <c r="F4">
        <v>419</v>
      </c>
      <c r="G4">
        <v>1705</v>
      </c>
      <c r="H4">
        <v>1080</v>
      </c>
      <c r="I4">
        <v>2460</v>
      </c>
      <c r="K4" s="16"/>
      <c r="L4" s="14"/>
      <c r="M4" s="17"/>
    </row>
    <row r="5" spans="1:13" ht="15">
      <c r="A5" t="s">
        <v>224</v>
      </c>
      <c r="B5" s="14">
        <f>2+5/16</f>
        <v>2.3125</v>
      </c>
      <c r="C5">
        <v>14</v>
      </c>
      <c r="D5">
        <v>3.3</v>
      </c>
      <c r="E5">
        <v>7335</v>
      </c>
      <c r="F5">
        <v>612</v>
      </c>
      <c r="G5">
        <v>1955</v>
      </c>
      <c r="H5">
        <v>1080</v>
      </c>
      <c r="I5">
        <v>2460</v>
      </c>
      <c r="K5" s="16"/>
      <c r="L5" s="14"/>
      <c r="M5" s="17"/>
    </row>
    <row r="6" spans="1:13" ht="15">
      <c r="A6" t="s">
        <v>224</v>
      </c>
      <c r="B6" s="14">
        <f>2+5/16</f>
        <v>2.3125</v>
      </c>
      <c r="C6">
        <v>16</v>
      </c>
      <c r="D6">
        <v>3.5</v>
      </c>
      <c r="E6">
        <v>8405</v>
      </c>
      <c r="F6">
        <v>830</v>
      </c>
      <c r="G6">
        <v>2190</v>
      </c>
      <c r="H6">
        <v>1080</v>
      </c>
      <c r="I6">
        <v>2460</v>
      </c>
      <c r="K6" s="16"/>
      <c r="L6" s="14"/>
      <c r="M6" s="17"/>
    </row>
    <row r="10" spans="1:15" ht="15">
      <c r="A10" t="s">
        <v>230</v>
      </c>
      <c r="B10" s="14">
        <f>2+11/16</f>
        <v>2.6875</v>
      </c>
      <c r="C10" s="14">
        <v>9.5</v>
      </c>
      <c r="D10">
        <v>8</v>
      </c>
      <c r="E10">
        <v>10025</v>
      </c>
      <c r="G10">
        <v>4935</v>
      </c>
      <c r="K10" s="16">
        <f aca="true" t="shared" si="0" ref="K10:K15">B10*C10^2/6</f>
        <v>40.424479166666664</v>
      </c>
      <c r="L10" s="14">
        <f aca="true" t="shared" si="1" ref="L10:L15">B10*C10</f>
        <v>25.53125</v>
      </c>
      <c r="M10" s="17">
        <f aca="true" t="shared" si="2" ref="M10:M15">B10*C10^3/12</f>
        <v>192.01627604166666</v>
      </c>
      <c r="O10" s="23">
        <f aca="true" t="shared" si="3" ref="O10:O15">E10/K10</f>
        <v>247.99330026412423</v>
      </c>
    </row>
    <row r="11" spans="2:15" ht="15">
      <c r="B11" s="14">
        <f>2+11/16</f>
        <v>2.6875</v>
      </c>
      <c r="C11" s="14">
        <v>11.875</v>
      </c>
      <c r="D11">
        <v>10</v>
      </c>
      <c r="E11">
        <v>15280</v>
      </c>
      <c r="G11">
        <v>6170</v>
      </c>
      <c r="K11" s="16">
        <f t="shared" si="0"/>
        <v>63.163248697916664</v>
      </c>
      <c r="L11" s="14">
        <f t="shared" si="1"/>
        <v>31.9140625</v>
      </c>
      <c r="M11" s="17">
        <f t="shared" si="2"/>
        <v>375.0317891438802</v>
      </c>
      <c r="O11" s="23">
        <f t="shared" si="3"/>
        <v>241.91282612896993</v>
      </c>
    </row>
    <row r="12" spans="2:15" ht="15">
      <c r="B12" s="14">
        <v>3.5</v>
      </c>
      <c r="C12" s="14">
        <v>9.5</v>
      </c>
      <c r="D12">
        <v>10.4</v>
      </c>
      <c r="E12">
        <v>13055</v>
      </c>
      <c r="G12">
        <v>6430</v>
      </c>
      <c r="K12" s="16">
        <f t="shared" si="0"/>
        <v>52.645833333333336</v>
      </c>
      <c r="L12" s="14">
        <f t="shared" si="1"/>
        <v>33.25</v>
      </c>
      <c r="M12" s="17">
        <f t="shared" si="2"/>
        <v>250.06770833333334</v>
      </c>
      <c r="O12" s="23">
        <f t="shared" si="3"/>
        <v>247.97783933518005</v>
      </c>
    </row>
    <row r="13" spans="2:15" ht="15">
      <c r="B13" s="14">
        <v>3.5</v>
      </c>
      <c r="C13" s="14">
        <v>11.875</v>
      </c>
      <c r="D13">
        <v>13</v>
      </c>
      <c r="E13">
        <v>19990</v>
      </c>
      <c r="G13">
        <v>8035</v>
      </c>
      <c r="K13" s="16">
        <f t="shared" si="0"/>
        <v>82.25911458333333</v>
      </c>
      <c r="L13" s="14">
        <f t="shared" si="1"/>
        <v>41.5625</v>
      </c>
      <c r="M13" s="17">
        <f t="shared" si="2"/>
        <v>488.4134928385417</v>
      </c>
      <c r="O13" s="23">
        <f t="shared" si="3"/>
        <v>243.0125840918085</v>
      </c>
    </row>
    <row r="14" spans="2:15" ht="15">
      <c r="B14" s="14">
        <v>5.25</v>
      </c>
      <c r="C14" s="14">
        <v>9.5</v>
      </c>
      <c r="D14">
        <v>15.6</v>
      </c>
      <c r="E14">
        <v>19585</v>
      </c>
      <c r="G14">
        <v>9645</v>
      </c>
      <c r="K14" s="16">
        <f t="shared" si="0"/>
        <v>78.96875</v>
      </c>
      <c r="L14" s="14">
        <f t="shared" si="1"/>
        <v>49.875</v>
      </c>
      <c r="M14" s="17">
        <f t="shared" si="2"/>
        <v>375.1015625</v>
      </c>
      <c r="O14" s="23">
        <f t="shared" si="3"/>
        <v>248.00949742777996</v>
      </c>
    </row>
    <row r="15" spans="2:15" ht="15">
      <c r="B15" s="14">
        <v>5.25</v>
      </c>
      <c r="C15" s="14">
        <v>11.875</v>
      </c>
      <c r="D15">
        <v>23</v>
      </c>
      <c r="E15">
        <v>29855</v>
      </c>
      <c r="G15">
        <v>12055</v>
      </c>
      <c r="K15" s="16">
        <f t="shared" si="0"/>
        <v>123.388671875</v>
      </c>
      <c r="L15" s="14">
        <f t="shared" si="1"/>
        <v>62.34375</v>
      </c>
      <c r="M15" s="17">
        <f t="shared" si="2"/>
        <v>732.6202392578125</v>
      </c>
      <c r="O15" s="23">
        <f t="shared" si="3"/>
        <v>241.9590027700831</v>
      </c>
    </row>
    <row r="17" spans="11:14" ht="30">
      <c r="K17" s="15" t="s">
        <v>235</v>
      </c>
      <c r="L17" s="15" t="s">
        <v>198</v>
      </c>
      <c r="M17" t="s">
        <v>236</v>
      </c>
      <c r="N17" t="s">
        <v>269</v>
      </c>
    </row>
    <row r="18" spans="1:14" ht="15">
      <c r="A18" t="s">
        <v>234</v>
      </c>
      <c r="B18" s="14">
        <v>1.5</v>
      </c>
      <c r="C18" s="14">
        <v>3.5</v>
      </c>
      <c r="K18" s="16">
        <f>B18*C18^2/6</f>
        <v>3.0625</v>
      </c>
      <c r="L18" s="14">
        <f>B18*C18</f>
        <v>5.25</v>
      </c>
      <c r="M18" s="17">
        <f>B18*C18^3/12</f>
        <v>5.359375</v>
      </c>
      <c r="N18">
        <v>1310</v>
      </c>
    </row>
    <row r="19" spans="1:14" ht="15">
      <c r="A19" t="s">
        <v>233</v>
      </c>
      <c r="B19" s="14">
        <v>1.5</v>
      </c>
      <c r="C19" s="14">
        <v>5.5</v>
      </c>
      <c r="K19" s="16">
        <f>B19*C19^2/6</f>
        <v>7.5625</v>
      </c>
      <c r="L19" s="14">
        <f>B19*C19</f>
        <v>8.25</v>
      </c>
      <c r="M19" s="17">
        <f>B19*C19^3/12</f>
        <v>20.796875</v>
      </c>
      <c r="N19">
        <v>1140</v>
      </c>
    </row>
    <row r="20" spans="1:14" ht="15">
      <c r="A20" t="s">
        <v>231</v>
      </c>
      <c r="B20" s="14">
        <v>1.5</v>
      </c>
      <c r="C20" s="14">
        <v>7.25</v>
      </c>
      <c r="K20" s="16">
        <f>B20*C20^2/6</f>
        <v>13.140625</v>
      </c>
      <c r="L20" s="14">
        <f>B20*C20</f>
        <v>10.875</v>
      </c>
      <c r="M20" s="17">
        <f>B20*C20^3/12</f>
        <v>47.634765625</v>
      </c>
      <c r="N20">
        <v>1050</v>
      </c>
    </row>
    <row r="21" spans="1:14" ht="15">
      <c r="A21" t="s">
        <v>232</v>
      </c>
      <c r="B21" s="14">
        <v>1.5</v>
      </c>
      <c r="C21" s="14">
        <v>9.25</v>
      </c>
      <c r="K21" s="16">
        <f>B21*C21^2/6</f>
        <v>21.390625</v>
      </c>
      <c r="L21" s="14">
        <f>B21*C21</f>
        <v>13.875</v>
      </c>
      <c r="M21" s="17">
        <f>B21*C21^3/12</f>
        <v>98.931640625</v>
      </c>
      <c r="N21">
        <v>960</v>
      </c>
    </row>
    <row r="22" spans="1:14" ht="15">
      <c r="A22" t="s">
        <v>218</v>
      </c>
      <c r="B22" s="14">
        <v>1.5</v>
      </c>
      <c r="C22" s="14">
        <v>11.25</v>
      </c>
      <c r="K22" s="16">
        <f>B22*C22^2/6</f>
        <v>31.640625</v>
      </c>
      <c r="L22" s="14">
        <f>B22*C22</f>
        <v>16.875</v>
      </c>
      <c r="M22" s="17">
        <f>B22*C22^3/12</f>
        <v>177.978515625</v>
      </c>
      <c r="N22">
        <v>850</v>
      </c>
    </row>
    <row r="24" spans="1:13" ht="15">
      <c r="A24" t="s">
        <v>243</v>
      </c>
      <c r="K24">
        <v>56.5</v>
      </c>
      <c r="L24">
        <v>10.6</v>
      </c>
      <c r="M24">
        <v>448</v>
      </c>
    </row>
    <row r="25" spans="1:13" ht="15">
      <c r="A25" t="s">
        <v>244</v>
      </c>
      <c r="K25">
        <v>27.9</v>
      </c>
      <c r="L25">
        <v>7.61</v>
      </c>
      <c r="M25">
        <v>144</v>
      </c>
    </row>
    <row r="26" spans="1:13" ht="15">
      <c r="A26" t="s">
        <v>245</v>
      </c>
      <c r="K26">
        <v>23.2</v>
      </c>
      <c r="L26">
        <v>6.49</v>
      </c>
      <c r="M26">
        <v>118</v>
      </c>
    </row>
    <row r="27" spans="2:4" ht="15">
      <c r="B27" t="s">
        <v>237</v>
      </c>
      <c r="C27" t="s">
        <v>269</v>
      </c>
      <c r="D27" t="s">
        <v>270</v>
      </c>
    </row>
    <row r="28" spans="1:2" ht="15">
      <c r="A28" t="s">
        <v>238</v>
      </c>
      <c r="B28" s="18">
        <v>1300000</v>
      </c>
    </row>
    <row r="29" spans="1:11" ht="15">
      <c r="A29" t="s">
        <v>239</v>
      </c>
      <c r="B29" s="18">
        <v>1900000</v>
      </c>
      <c r="C29">
        <v>875</v>
      </c>
      <c r="K29" t="s">
        <v>272</v>
      </c>
    </row>
    <row r="30" spans="1:2" ht="15">
      <c r="A30" t="s">
        <v>240</v>
      </c>
      <c r="B30" s="18">
        <v>2000000</v>
      </c>
    </row>
    <row r="32" spans="1:2" ht="15">
      <c r="A32" t="s">
        <v>241</v>
      </c>
      <c r="B32" s="18">
        <v>29000000</v>
      </c>
    </row>
    <row r="35" ht="15">
      <c r="B35" t="s">
        <v>271</v>
      </c>
    </row>
    <row r="39" spans="3:14" ht="15">
      <c r="C39" t="s">
        <v>246</v>
      </c>
      <c r="D39" t="s">
        <v>198</v>
      </c>
      <c r="E39" t="s">
        <v>248</v>
      </c>
      <c r="F39" t="s">
        <v>263</v>
      </c>
      <c r="G39" t="s">
        <v>264</v>
      </c>
      <c r="H39" t="s">
        <v>265</v>
      </c>
      <c r="I39" t="s">
        <v>236</v>
      </c>
      <c r="J39" t="s">
        <v>254</v>
      </c>
      <c r="K39" t="s">
        <v>256</v>
      </c>
      <c r="L39" t="s">
        <v>257</v>
      </c>
      <c r="M39" t="s">
        <v>258</v>
      </c>
      <c r="N39" t="s">
        <v>259</v>
      </c>
    </row>
    <row r="40" spans="4:14" ht="15">
      <c r="D40" t="s">
        <v>266</v>
      </c>
      <c r="E40" t="s">
        <v>249</v>
      </c>
      <c r="F40" t="s">
        <v>249</v>
      </c>
      <c r="G40" t="s">
        <v>249</v>
      </c>
      <c r="H40" t="s">
        <v>249</v>
      </c>
      <c r="I40" t="s">
        <v>267</v>
      </c>
      <c r="J40" t="s">
        <v>268</v>
      </c>
      <c r="K40" t="s">
        <v>249</v>
      </c>
      <c r="L40" t="s">
        <v>267</v>
      </c>
      <c r="M40" t="s">
        <v>268</v>
      </c>
      <c r="N40" t="s">
        <v>249</v>
      </c>
    </row>
    <row r="41" spans="3:14" ht="15">
      <c r="C41" t="s">
        <v>260</v>
      </c>
      <c r="E41">
        <v>15.86</v>
      </c>
      <c r="F41">
        <v>6.985</v>
      </c>
      <c r="G41">
        <v>0.43</v>
      </c>
      <c r="H41">
        <v>0.295</v>
      </c>
      <c r="K41">
        <v>6.51</v>
      </c>
      <c r="L41">
        <v>24.5</v>
      </c>
      <c r="M41">
        <v>7</v>
      </c>
      <c r="N41">
        <v>1.52</v>
      </c>
    </row>
    <row r="42" spans="3:14" ht="15">
      <c r="C42" t="s">
        <v>261</v>
      </c>
      <c r="E42">
        <v>10.33</v>
      </c>
      <c r="F42">
        <v>5.77</v>
      </c>
      <c r="G42">
        <v>0.44</v>
      </c>
      <c r="H42">
        <v>0.26</v>
      </c>
      <c r="K42">
        <v>4.35</v>
      </c>
      <c r="L42">
        <v>14.1</v>
      </c>
      <c r="M42">
        <v>4.89</v>
      </c>
      <c r="N42">
        <v>1.36</v>
      </c>
    </row>
    <row r="43" spans="3:14" ht="15">
      <c r="C43" t="s">
        <v>262</v>
      </c>
      <c r="E43">
        <v>10.17</v>
      </c>
      <c r="F43">
        <v>5.75</v>
      </c>
      <c r="G43">
        <v>0.36</v>
      </c>
      <c r="H43">
        <v>0.24</v>
      </c>
      <c r="K43">
        <v>4.27</v>
      </c>
      <c r="L43">
        <v>11.4</v>
      </c>
      <c r="M43">
        <v>3.97</v>
      </c>
      <c r="N43">
        <v>1.33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F20:Q24"/>
  <sheetViews>
    <sheetView zoomScalePageLayoutView="0" workbookViewId="0" topLeftCell="A1">
      <selection activeCell="F20" sqref="F20:Q24"/>
    </sheetView>
  </sheetViews>
  <sheetFormatPr defaultColWidth="9.140625" defaultRowHeight="15"/>
  <sheetData>
    <row r="20" spans="6:17" ht="15">
      <c r="F20" s="244" t="s">
        <v>246</v>
      </c>
      <c r="G20" s="19" t="s">
        <v>198</v>
      </c>
      <c r="H20" s="21" t="s">
        <v>248</v>
      </c>
      <c r="I20" s="21" t="s">
        <v>250</v>
      </c>
      <c r="J20" s="21" t="s">
        <v>251</v>
      </c>
      <c r="K20" s="21" t="s">
        <v>252</v>
      </c>
      <c r="L20" s="19" t="s">
        <v>236</v>
      </c>
      <c r="M20" s="19" t="s">
        <v>254</v>
      </c>
      <c r="N20" s="19" t="s">
        <v>256</v>
      </c>
      <c r="O20" s="19" t="s">
        <v>257</v>
      </c>
      <c r="P20" s="19" t="s">
        <v>258</v>
      </c>
      <c r="Q20" s="19" t="s">
        <v>259</v>
      </c>
    </row>
    <row r="21" spans="6:17" ht="15">
      <c r="F21" s="244"/>
      <c r="G21" s="20" t="s">
        <v>247</v>
      </c>
      <c r="H21" s="20" t="s">
        <v>249</v>
      </c>
      <c r="I21" s="20" t="s">
        <v>249</v>
      </c>
      <c r="J21" s="20" t="s">
        <v>249</v>
      </c>
      <c r="K21" s="20" t="s">
        <v>249</v>
      </c>
      <c r="L21" s="20" t="s">
        <v>253</v>
      </c>
      <c r="M21" s="20" t="s">
        <v>255</v>
      </c>
      <c r="N21" s="20" t="s">
        <v>249</v>
      </c>
      <c r="O21" s="20" t="s">
        <v>253</v>
      </c>
      <c r="P21" s="20" t="s">
        <v>255</v>
      </c>
      <c r="Q21" s="20" t="s">
        <v>249</v>
      </c>
    </row>
    <row r="22" spans="6:17" ht="15">
      <c r="F22" s="22" t="s">
        <v>260</v>
      </c>
      <c r="G22" s="22">
        <v>10.6</v>
      </c>
      <c r="H22" s="22">
        <v>15.86</v>
      </c>
      <c r="I22" s="22">
        <v>6.985</v>
      </c>
      <c r="J22" s="22">
        <v>0.43</v>
      </c>
      <c r="K22" s="22">
        <v>0.295</v>
      </c>
      <c r="L22" s="22">
        <v>448</v>
      </c>
      <c r="M22" s="22">
        <v>56.5</v>
      </c>
      <c r="N22" s="22">
        <v>6.51</v>
      </c>
      <c r="O22" s="22">
        <v>24.5</v>
      </c>
      <c r="P22" s="22">
        <v>7</v>
      </c>
      <c r="Q22" s="22">
        <v>1.52</v>
      </c>
    </row>
    <row r="23" spans="6:17" ht="15">
      <c r="F23" s="22" t="s">
        <v>261</v>
      </c>
      <c r="G23" s="22">
        <v>7.61</v>
      </c>
      <c r="H23" s="22">
        <v>10.33</v>
      </c>
      <c r="I23" s="22">
        <v>5.77</v>
      </c>
      <c r="J23" s="22">
        <v>0.44</v>
      </c>
      <c r="K23" s="22">
        <v>0.26</v>
      </c>
      <c r="L23" s="22">
        <v>144</v>
      </c>
      <c r="M23" s="22">
        <v>27.9</v>
      </c>
      <c r="N23" s="22">
        <v>4.35</v>
      </c>
      <c r="O23" s="22">
        <v>14.1</v>
      </c>
      <c r="P23" s="22">
        <v>4.89</v>
      </c>
      <c r="Q23" s="22">
        <v>1.36</v>
      </c>
    </row>
    <row r="24" spans="6:17" ht="15">
      <c r="F24" s="22" t="s">
        <v>262</v>
      </c>
      <c r="G24" s="22">
        <v>6.49</v>
      </c>
      <c r="H24" s="22">
        <v>10.17</v>
      </c>
      <c r="I24" s="22">
        <v>5.75</v>
      </c>
      <c r="J24" s="22">
        <v>0.36</v>
      </c>
      <c r="K24" s="22">
        <v>0.24</v>
      </c>
      <c r="L24" s="22">
        <v>118</v>
      </c>
      <c r="M24" s="22">
        <v>23.2</v>
      </c>
      <c r="N24" s="22">
        <v>4.27</v>
      </c>
      <c r="O24" s="22">
        <v>11.4</v>
      </c>
      <c r="P24" s="22">
        <v>3.97</v>
      </c>
      <c r="Q24" s="22">
        <v>1.33</v>
      </c>
    </row>
  </sheetData>
  <sheetProtection/>
  <mergeCells count="1">
    <mergeCell ref="F20:F2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7"/>
  <sheetViews>
    <sheetView tabSelected="1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10" sqref="B10"/>
    </sheetView>
  </sheetViews>
  <sheetFormatPr defaultColWidth="9.140625" defaultRowHeight="15"/>
  <cols>
    <col min="1" max="1" width="28.28125" style="0" customWidth="1"/>
    <col min="2" max="2" width="6.140625" style="0" customWidth="1"/>
    <col min="3" max="3" width="8.8515625" style="0" customWidth="1"/>
    <col min="4" max="4" width="10.421875" style="0" customWidth="1"/>
    <col min="5" max="5" width="7.00390625" style="0" customWidth="1"/>
    <col min="6" max="6" width="11.421875" style="26" hidden="1" customWidth="1"/>
    <col min="7" max="7" width="9.140625" style="78" hidden="1" customWidth="1"/>
    <col min="8" max="8" width="10.57421875" style="92" hidden="1" customWidth="1"/>
    <col min="9" max="9" width="10.57421875" style="134" hidden="1" customWidth="1"/>
    <col min="10" max="10" width="10.57421875" style="92" hidden="1" customWidth="1"/>
    <col min="11" max="11" width="4.28125" style="0" customWidth="1"/>
    <col min="13" max="13" width="11.8515625" style="144" customWidth="1"/>
    <col min="14" max="14" width="10.57421875" style="0" hidden="1" customWidth="1"/>
    <col min="15" max="15" width="1.7109375" style="0" customWidth="1"/>
    <col min="16" max="16" width="5.140625" style="141" customWidth="1"/>
    <col min="17" max="17" width="9.140625" style="139" customWidth="1"/>
    <col min="19" max="19" width="12.00390625" style="139" hidden="1" customWidth="1"/>
    <col min="20" max="20" width="12.57421875" style="0" hidden="1" customWidth="1"/>
    <col min="21" max="21" width="5.140625" style="176" customWidth="1"/>
    <col min="22" max="22" width="8.421875" style="176" customWidth="1"/>
    <col min="23" max="23" width="8.140625" style="265" customWidth="1"/>
    <col min="24" max="24" width="12.57421875" style="0" hidden="1" customWidth="1"/>
    <col min="25" max="25" width="5.00390625" style="0" customWidth="1"/>
    <col min="26" max="26" width="8.57421875" style="0" customWidth="1"/>
    <col min="27" max="27" width="9.7109375" style="226" customWidth="1"/>
    <col min="28" max="28" width="12.57421875" style="204" hidden="1" customWidth="1"/>
    <col min="29" max="29" width="5.140625" style="0" customWidth="1"/>
    <col min="30" max="30" width="7.140625" style="0" customWidth="1"/>
    <col min="31" max="31" width="7.8515625" style="234" customWidth="1"/>
    <col min="32" max="32" width="5.140625" style="231" hidden="1" customWidth="1"/>
    <col min="33" max="33" width="12.57421875" style="271" hidden="1" customWidth="1"/>
    <col min="34" max="34" width="7.57421875" style="204" customWidth="1"/>
    <col min="35" max="35" width="11.140625" style="261" customWidth="1"/>
    <col min="36" max="36" width="10.57421875" style="0" bestFit="1" customWidth="1"/>
    <col min="37" max="37" width="11.57421875" style="139" bestFit="1" customWidth="1"/>
    <col min="38" max="38" width="9.140625" style="234" customWidth="1"/>
    <col min="39" max="39" width="9.57421875" style="0" bestFit="1" customWidth="1"/>
    <col min="40" max="40" width="10.57421875" style="0" bestFit="1" customWidth="1"/>
  </cols>
  <sheetData>
    <row r="1" ht="15.75" customHeight="1">
      <c r="A1" s="117" t="s">
        <v>457</v>
      </c>
    </row>
    <row r="2" spans="1:4" ht="15.75" customHeight="1">
      <c r="A2" s="110" t="s">
        <v>452</v>
      </c>
      <c r="B2" s="111"/>
      <c r="C2" s="112"/>
      <c r="D2" s="112"/>
    </row>
    <row r="3" spans="1:4" ht="15.75" customHeight="1">
      <c r="A3" s="114" t="s">
        <v>453</v>
      </c>
      <c r="B3" s="111"/>
      <c r="C3" s="115"/>
      <c r="D3" s="115"/>
    </row>
    <row r="4" spans="1:4" ht="15.75" customHeight="1">
      <c r="A4" s="114" t="s">
        <v>454</v>
      </c>
      <c r="B4" s="111"/>
      <c r="C4" s="115"/>
      <c r="D4" s="115"/>
    </row>
    <row r="5" spans="1:4" ht="15.75" customHeight="1">
      <c r="A5" s="114" t="s">
        <v>455</v>
      </c>
      <c r="B5" s="111"/>
      <c r="C5" s="115"/>
      <c r="D5" s="115"/>
    </row>
    <row r="6" spans="1:4" ht="15.75" customHeight="1">
      <c r="A6" s="116" t="s">
        <v>456</v>
      </c>
      <c r="B6" s="111"/>
      <c r="C6" s="111"/>
      <c r="D6" s="111"/>
    </row>
    <row r="7" ht="15.75" customHeight="1"/>
    <row r="8" ht="15.75" customHeight="1" thickBot="1"/>
    <row r="9" spans="1:40" ht="35.25" customHeight="1" thickBot="1">
      <c r="A9" s="122"/>
      <c r="B9" s="123" t="s">
        <v>527</v>
      </c>
      <c r="C9" s="123" t="str">
        <f>'Wood Materials'!B232</f>
        <v>Number LF</v>
      </c>
      <c r="D9" s="123" t="str">
        <f>'Wood Materials'!B233</f>
        <v>Number of Sticks</v>
      </c>
      <c r="E9" s="124" t="str">
        <f>C9</f>
        <v>Number LF</v>
      </c>
      <c r="G9" s="249" t="s">
        <v>460</v>
      </c>
      <c r="H9" s="250"/>
      <c r="I9" s="251"/>
      <c r="J9" s="153"/>
      <c r="K9" s="169"/>
      <c r="L9" s="255" t="s">
        <v>461</v>
      </c>
      <c r="M9" s="256"/>
      <c r="N9" s="257"/>
      <c r="Q9" s="252" t="s">
        <v>464</v>
      </c>
      <c r="R9" s="253"/>
      <c r="S9" s="254"/>
      <c r="V9" s="252" t="s">
        <v>467</v>
      </c>
      <c r="W9" s="253"/>
      <c r="X9" s="254"/>
      <c r="Z9" s="255" t="s">
        <v>484</v>
      </c>
      <c r="AA9" s="256"/>
      <c r="AB9" s="257"/>
      <c r="AD9" s="255" t="s">
        <v>482</v>
      </c>
      <c r="AE9" s="256"/>
      <c r="AF9" s="257"/>
      <c r="AH9" s="258" t="s">
        <v>486</v>
      </c>
      <c r="AI9" s="259"/>
      <c r="AJ9" s="260"/>
      <c r="AL9" s="243" t="s">
        <v>487</v>
      </c>
      <c r="AM9" s="243"/>
      <c r="AN9" s="243"/>
    </row>
    <row r="10" spans="1:39" ht="15">
      <c r="A10" s="121" t="str">
        <f>'Wood Materials'!D217</f>
        <v>2x4x8</v>
      </c>
      <c r="B10" s="121">
        <f>'Wood Materials'!D218</f>
        <v>8</v>
      </c>
      <c r="C10" s="121">
        <f>'Wood Materials'!D232</f>
        <v>384</v>
      </c>
      <c r="D10" s="121">
        <f aca="true" t="shared" si="0" ref="D10:D19">C10/B10</f>
        <v>48</v>
      </c>
      <c r="E10" s="121"/>
      <c r="F10" s="104"/>
      <c r="G10" s="150">
        <f>P2x4</f>
        <v>0.2975</v>
      </c>
      <c r="H10" s="168">
        <f>G10*B10</f>
        <v>2.38</v>
      </c>
      <c r="I10" s="151">
        <f aca="true" t="shared" si="1" ref="I10:I19">G10*C10</f>
        <v>114.24</v>
      </c>
      <c r="J10"/>
      <c r="K10">
        <f>B10</f>
        <v>8</v>
      </c>
      <c r="L10" s="170">
        <v>2.09</v>
      </c>
      <c r="M10" s="162">
        <f aca="true" t="shared" si="2" ref="M10:M19">L10/K10</f>
        <v>0.26125</v>
      </c>
      <c r="N10" s="132">
        <f aca="true" t="shared" si="3" ref="N10:N19">M10*C10</f>
        <v>100.32</v>
      </c>
      <c r="Q10" s="171">
        <v>1.8933333333333333</v>
      </c>
      <c r="R10" s="145">
        <v>0.23666666666666666</v>
      </c>
      <c r="S10" s="139">
        <f aca="true" t="shared" si="4" ref="S10:S19">Q10*D10</f>
        <v>90.88</v>
      </c>
      <c r="V10" s="176">
        <v>1.94</v>
      </c>
      <c r="W10" s="265">
        <f>V10/B10</f>
        <v>0.2425</v>
      </c>
      <c r="X10">
        <f>V10*D10</f>
        <v>93.12</v>
      </c>
      <c r="Z10">
        <v>2.77</v>
      </c>
      <c r="AA10" s="227">
        <f aca="true" t="shared" si="5" ref="AA10:AA19">Z10/B10</f>
        <v>0.34625</v>
      </c>
      <c r="AB10" s="204">
        <v>132.96</v>
      </c>
      <c r="AD10">
        <v>1.72</v>
      </c>
      <c r="AE10" s="234">
        <f aca="true" t="shared" si="6" ref="AE10:AE17">AD10/B10</f>
        <v>0.215</v>
      </c>
      <c r="AF10" s="231">
        <f>AD10*$D10</f>
        <v>82.56</v>
      </c>
      <c r="AH10" s="204">
        <f>MIN(Q10,L10,H10,V10,Z10,AD10)</f>
        <v>1.72</v>
      </c>
      <c r="AI10" s="231">
        <f aca="true" t="shared" si="7" ref="AI10:AI19">AH10*$D10</f>
        <v>82.56</v>
      </c>
      <c r="AK10"/>
      <c r="AL10" s="234">
        <f>IF(AH10=Z10,AH10,AH10*0.9)</f>
        <v>1.548</v>
      </c>
      <c r="AM10" s="231">
        <f>AL10*$D10</f>
        <v>74.304</v>
      </c>
    </row>
    <row r="11" spans="1:39" ht="15">
      <c r="A11" s="106" t="str">
        <f>'Wood Materials'!F217</f>
        <v>2x6x8'</v>
      </c>
      <c r="B11" s="106">
        <f>'Wood Materials'!F218</f>
        <v>8</v>
      </c>
      <c r="C11" s="106">
        <f>'Wood Materials'!F232</f>
        <v>3664</v>
      </c>
      <c r="D11" s="106">
        <f t="shared" si="0"/>
        <v>458</v>
      </c>
      <c r="E11" s="106"/>
      <c r="F11" s="104"/>
      <c r="G11" s="146">
        <f>P2x6</f>
        <v>0.438</v>
      </c>
      <c r="H11" s="138">
        <f aca="true" t="shared" si="8" ref="H11:H19">G11*B11</f>
        <v>3.504</v>
      </c>
      <c r="I11" s="147">
        <f t="shared" si="1"/>
        <v>1604.832</v>
      </c>
      <c r="J11"/>
      <c r="K11">
        <f aca="true" t="shared" si="9" ref="K11:K19">B11</f>
        <v>8</v>
      </c>
      <c r="L11" s="127">
        <v>3.08</v>
      </c>
      <c r="M11" s="156">
        <f t="shared" si="2"/>
        <v>0.385</v>
      </c>
      <c r="N11" s="132">
        <f t="shared" si="3"/>
        <v>1410.64</v>
      </c>
      <c r="Q11" s="171">
        <v>2.88</v>
      </c>
      <c r="R11" s="145">
        <v>0.36</v>
      </c>
      <c r="S11" s="139">
        <f t="shared" si="4"/>
        <v>1319.04</v>
      </c>
      <c r="V11" s="176">
        <v>3.06</v>
      </c>
      <c r="W11" s="265">
        <f aca="true" t="shared" si="10" ref="W11:W16">V11/B11</f>
        <v>0.3825</v>
      </c>
      <c r="X11">
        <f aca="true" t="shared" si="11" ref="X11:X19">V11*D11</f>
        <v>1401.48</v>
      </c>
      <c r="Z11">
        <v>3.78</v>
      </c>
      <c r="AA11" s="227">
        <f t="shared" si="5"/>
        <v>0.4725</v>
      </c>
      <c r="AB11" s="204">
        <v>1731.24</v>
      </c>
      <c r="AD11">
        <v>3.53</v>
      </c>
      <c r="AE11" s="234">
        <f t="shared" si="6"/>
        <v>0.44125</v>
      </c>
      <c r="AF11" s="231">
        <f aca="true" t="shared" si="12" ref="AF11:AF19">AD11*$D11</f>
        <v>1616.74</v>
      </c>
      <c r="AH11" s="204">
        <f aca="true" t="shared" si="13" ref="AH11:AH19">MIN(Q11,L11,H11,V11,Z11,AD11)</f>
        <v>2.88</v>
      </c>
      <c r="AI11" s="231">
        <f t="shared" si="7"/>
        <v>1319.04</v>
      </c>
      <c r="AK11"/>
      <c r="AL11" s="234">
        <f aca="true" t="shared" si="14" ref="AL11:AL19">IF(AH11=Z11,AH11,AH11*0.9)</f>
        <v>2.592</v>
      </c>
      <c r="AM11" s="231">
        <f aca="true" t="shared" si="15" ref="AM11:AM19">AL11*$D11</f>
        <v>1187.136</v>
      </c>
    </row>
    <row r="12" spans="1:39" ht="15">
      <c r="A12" s="106" t="str">
        <f>'Wood Materials'!G217</f>
        <v>2x6x10'</v>
      </c>
      <c r="B12" s="106">
        <f>'Wood Materials'!G218</f>
        <v>10</v>
      </c>
      <c r="C12" s="106">
        <f>'Wood Materials'!G232</f>
        <v>2050</v>
      </c>
      <c r="D12" s="106">
        <f t="shared" si="0"/>
        <v>205</v>
      </c>
      <c r="E12" s="106"/>
      <c r="F12" s="104"/>
      <c r="G12" s="146">
        <f>P2x6</f>
        <v>0.438</v>
      </c>
      <c r="H12" s="138">
        <f t="shared" si="8"/>
        <v>4.38</v>
      </c>
      <c r="I12" s="147">
        <f t="shared" si="1"/>
        <v>897.9</v>
      </c>
      <c r="J12"/>
      <c r="K12">
        <f t="shared" si="9"/>
        <v>10</v>
      </c>
      <c r="L12" s="127">
        <v>3.89</v>
      </c>
      <c r="M12" s="156">
        <f t="shared" si="2"/>
        <v>0.389</v>
      </c>
      <c r="N12" s="132">
        <f t="shared" si="3"/>
        <v>797.45</v>
      </c>
      <c r="Q12" s="140">
        <v>3.5999999999999996</v>
      </c>
      <c r="R12" s="145">
        <v>0.36</v>
      </c>
      <c r="S12" s="139">
        <f t="shared" si="4"/>
        <v>737.9999999999999</v>
      </c>
      <c r="V12" s="198">
        <v>3.35</v>
      </c>
      <c r="W12" s="265">
        <f t="shared" si="10"/>
        <v>0.335</v>
      </c>
      <c r="X12">
        <f t="shared" si="11"/>
        <v>686.75</v>
      </c>
      <c r="Z12">
        <v>5.3</v>
      </c>
      <c r="AA12" s="227">
        <f t="shared" si="5"/>
        <v>0.53</v>
      </c>
      <c r="AB12" s="204">
        <v>1086.5</v>
      </c>
      <c r="AD12">
        <v>3.91</v>
      </c>
      <c r="AE12" s="234">
        <f t="shared" si="6"/>
        <v>0.391</v>
      </c>
      <c r="AF12" s="231">
        <f t="shared" si="12"/>
        <v>801.5500000000001</v>
      </c>
      <c r="AH12" s="204">
        <f t="shared" si="13"/>
        <v>3.35</v>
      </c>
      <c r="AI12" s="231">
        <f t="shared" si="7"/>
        <v>686.75</v>
      </c>
      <c r="AK12"/>
      <c r="AL12" s="234">
        <f t="shared" si="14"/>
        <v>3.015</v>
      </c>
      <c r="AM12" s="231">
        <f t="shared" si="15"/>
        <v>618.075</v>
      </c>
    </row>
    <row r="13" spans="1:39" ht="15">
      <c r="A13" s="106" t="str">
        <f>'Wood Materials'!H217</f>
        <v>2x6x12'</v>
      </c>
      <c r="B13" s="106">
        <f>'Wood Materials'!H218</f>
        <v>12</v>
      </c>
      <c r="C13" s="106">
        <f>'Wood Materials'!H232</f>
        <v>72</v>
      </c>
      <c r="D13" s="106">
        <f t="shared" si="0"/>
        <v>6</v>
      </c>
      <c r="E13" s="106"/>
      <c r="F13" s="104"/>
      <c r="G13" s="146">
        <f>P2x6</f>
        <v>0.438</v>
      </c>
      <c r="H13" s="138">
        <f t="shared" si="8"/>
        <v>5.256</v>
      </c>
      <c r="I13" s="147">
        <f t="shared" si="1"/>
        <v>31.536</v>
      </c>
      <c r="J13"/>
      <c r="K13">
        <f t="shared" si="9"/>
        <v>12</v>
      </c>
      <c r="L13" s="127">
        <v>4.99</v>
      </c>
      <c r="M13" s="156">
        <f t="shared" si="2"/>
        <v>0.41583333333333333</v>
      </c>
      <c r="N13" s="132">
        <f t="shared" si="3"/>
        <v>29.94</v>
      </c>
      <c r="Q13" s="140">
        <v>4.32</v>
      </c>
      <c r="R13" s="145">
        <v>0.36000000000000004</v>
      </c>
      <c r="S13" s="139">
        <f t="shared" si="4"/>
        <v>25.92</v>
      </c>
      <c r="V13" s="198">
        <v>4.11</v>
      </c>
      <c r="W13" s="265">
        <f t="shared" si="10"/>
        <v>0.3425</v>
      </c>
      <c r="X13">
        <f t="shared" si="11"/>
        <v>24.660000000000004</v>
      </c>
      <c r="Z13">
        <v>6.3</v>
      </c>
      <c r="AA13" s="227">
        <f t="shared" si="5"/>
        <v>0.525</v>
      </c>
      <c r="AB13" s="204">
        <v>37.8</v>
      </c>
      <c r="AD13">
        <v>5.28</v>
      </c>
      <c r="AE13" s="234">
        <f t="shared" si="6"/>
        <v>0.44</v>
      </c>
      <c r="AF13" s="231">
        <f t="shared" si="12"/>
        <v>31.68</v>
      </c>
      <c r="AH13" s="204">
        <f t="shared" si="13"/>
        <v>4.11</v>
      </c>
      <c r="AI13" s="231">
        <f t="shared" si="7"/>
        <v>24.660000000000004</v>
      </c>
      <c r="AK13"/>
      <c r="AL13" s="234">
        <f t="shared" si="14"/>
        <v>3.6990000000000003</v>
      </c>
      <c r="AM13" s="231">
        <f t="shared" si="15"/>
        <v>22.194000000000003</v>
      </c>
    </row>
    <row r="14" spans="1:39" ht="15">
      <c r="A14" s="106" t="str">
        <f>'Wood Materials'!O217</f>
        <v>2x8 LF Rafters 18'</v>
      </c>
      <c r="B14" s="106">
        <f>'Wood Materials'!O218</f>
        <v>18</v>
      </c>
      <c r="C14" s="106">
        <f>'Wood Materials'!O232</f>
        <v>1044</v>
      </c>
      <c r="D14" s="106">
        <f t="shared" si="0"/>
        <v>58</v>
      </c>
      <c r="E14" s="106"/>
      <c r="F14" s="104"/>
      <c r="G14" s="146">
        <f>P2x8x18</f>
        <v>0.629</v>
      </c>
      <c r="H14" s="138">
        <f t="shared" si="8"/>
        <v>11.322</v>
      </c>
      <c r="I14" s="147">
        <f t="shared" si="1"/>
        <v>656.676</v>
      </c>
      <c r="J14"/>
      <c r="K14">
        <f t="shared" si="9"/>
        <v>18</v>
      </c>
      <c r="L14" s="127">
        <v>10.29</v>
      </c>
      <c r="M14" s="156">
        <f t="shared" si="2"/>
        <v>0.5716666666666667</v>
      </c>
      <c r="N14" s="132">
        <f t="shared" si="3"/>
        <v>596.8199999999999</v>
      </c>
      <c r="Q14" s="140">
        <v>9.6</v>
      </c>
      <c r="R14" s="145">
        <v>0.5333333333333333</v>
      </c>
      <c r="S14" s="139">
        <f t="shared" si="4"/>
        <v>556.8</v>
      </c>
      <c r="V14" s="198">
        <v>9.24</v>
      </c>
      <c r="W14" s="265">
        <f t="shared" si="10"/>
        <v>0.5133333333333333</v>
      </c>
      <c r="X14">
        <f t="shared" si="11"/>
        <v>535.92</v>
      </c>
      <c r="Z14">
        <v>12.959999999999999</v>
      </c>
      <c r="AA14" s="227">
        <f t="shared" si="5"/>
        <v>0.72</v>
      </c>
      <c r="AB14" s="204">
        <v>751.68</v>
      </c>
      <c r="AD14">
        <v>12.95</v>
      </c>
      <c r="AE14" s="234">
        <f t="shared" si="6"/>
        <v>0.7194444444444444</v>
      </c>
      <c r="AF14" s="231">
        <f t="shared" si="12"/>
        <v>751.0999999999999</v>
      </c>
      <c r="AH14" s="204">
        <f t="shared" si="13"/>
        <v>9.24</v>
      </c>
      <c r="AI14" s="231">
        <f t="shared" si="7"/>
        <v>535.92</v>
      </c>
      <c r="AK14"/>
      <c r="AL14" s="234">
        <f t="shared" si="14"/>
        <v>8.316</v>
      </c>
      <c r="AM14" s="231">
        <f t="shared" si="15"/>
        <v>482.32800000000003</v>
      </c>
    </row>
    <row r="15" spans="1:39" ht="15">
      <c r="A15" s="106" t="str">
        <f>'Wood Materials'!P217</f>
        <v>2x8 LF Rafters 22</v>
      </c>
      <c r="B15" s="106">
        <f>'Wood Materials'!P218</f>
        <v>22</v>
      </c>
      <c r="C15" s="106">
        <f>'Wood Materials'!W226</f>
        <v>748</v>
      </c>
      <c r="D15" s="106">
        <f t="shared" si="0"/>
        <v>34</v>
      </c>
      <c r="E15" s="106"/>
      <c r="F15" s="104"/>
      <c r="G15" s="146">
        <f>P2x8x22</f>
        <v>0.9</v>
      </c>
      <c r="H15" s="138">
        <f t="shared" si="8"/>
        <v>19.8</v>
      </c>
      <c r="I15" s="147">
        <f t="shared" si="1"/>
        <v>673.2</v>
      </c>
      <c r="J15"/>
      <c r="K15">
        <f t="shared" si="9"/>
        <v>22</v>
      </c>
      <c r="L15" s="152">
        <v>17.39</v>
      </c>
      <c r="M15" s="158">
        <f t="shared" si="2"/>
        <v>0.7904545454545455</v>
      </c>
      <c r="N15" s="132">
        <f t="shared" si="3"/>
        <v>591.2600000000001</v>
      </c>
      <c r="Q15" s="139">
        <v>29.512637362637363</v>
      </c>
      <c r="R15" s="145">
        <v>1.3414835164835166</v>
      </c>
      <c r="S15" s="139">
        <f t="shared" si="4"/>
        <v>1003.4296703296703</v>
      </c>
      <c r="V15" s="176">
        <v>17.97</v>
      </c>
      <c r="W15" s="265">
        <f t="shared" si="10"/>
        <v>0.8168181818181818</v>
      </c>
      <c r="X15">
        <f t="shared" si="11"/>
        <v>610.98</v>
      </c>
      <c r="Z15">
        <v>19.01</v>
      </c>
      <c r="AA15" s="227">
        <f t="shared" si="5"/>
        <v>0.8640909090909091</v>
      </c>
      <c r="AB15" s="204">
        <v>646.34</v>
      </c>
      <c r="AD15">
        <v>18.4</v>
      </c>
      <c r="AE15" s="234">
        <f t="shared" si="6"/>
        <v>0.8363636363636363</v>
      </c>
      <c r="AF15" s="231">
        <f t="shared" si="12"/>
        <v>625.5999999999999</v>
      </c>
      <c r="AH15" s="204">
        <f t="shared" si="13"/>
        <v>17.39</v>
      </c>
      <c r="AI15" s="231">
        <f t="shared" si="7"/>
        <v>591.26</v>
      </c>
      <c r="AK15"/>
      <c r="AL15" s="234">
        <f t="shared" si="14"/>
        <v>15.651000000000002</v>
      </c>
      <c r="AM15" s="231">
        <f t="shared" si="15"/>
        <v>532.134</v>
      </c>
    </row>
    <row r="16" spans="1:39" ht="15">
      <c r="A16" s="106" t="str">
        <f>'Wood Materials'!Q217</f>
        <v>2x8 LF Rafters 26'</v>
      </c>
      <c r="B16" s="106">
        <f>'Wood Materials'!Q218</f>
        <v>26</v>
      </c>
      <c r="C16" s="106">
        <v>0</v>
      </c>
      <c r="D16" s="108">
        <f t="shared" si="0"/>
        <v>0</v>
      </c>
      <c r="E16" s="106"/>
      <c r="F16" s="104"/>
      <c r="G16" s="146">
        <f>P2x8x26</f>
        <v>1</v>
      </c>
      <c r="H16" s="163">
        <f t="shared" si="8"/>
        <v>26</v>
      </c>
      <c r="I16" s="147">
        <f t="shared" si="1"/>
        <v>0</v>
      </c>
      <c r="J16"/>
      <c r="K16">
        <f t="shared" si="9"/>
        <v>26</v>
      </c>
      <c r="L16" s="127">
        <v>29.99</v>
      </c>
      <c r="M16" s="158">
        <f t="shared" si="2"/>
        <v>1.1534615384615383</v>
      </c>
      <c r="N16" s="132">
        <f t="shared" si="3"/>
        <v>0</v>
      </c>
      <c r="P16" s="141" t="s">
        <v>463</v>
      </c>
      <c r="Q16" s="139">
        <v>34.87857142857143</v>
      </c>
      <c r="R16" s="145">
        <v>1.3414835164835166</v>
      </c>
      <c r="S16" s="139">
        <f t="shared" si="4"/>
        <v>0</v>
      </c>
      <c r="V16" s="198">
        <v>24.99</v>
      </c>
      <c r="W16" s="265">
        <f t="shared" si="10"/>
        <v>0.9611538461538461</v>
      </c>
      <c r="X16">
        <f t="shared" si="11"/>
        <v>0</v>
      </c>
      <c r="AA16" s="227">
        <f t="shared" si="5"/>
        <v>0</v>
      </c>
      <c r="AB16" s="204">
        <v>481.2</v>
      </c>
      <c r="AD16">
        <v>21.27</v>
      </c>
      <c r="AE16" s="234">
        <f t="shared" si="6"/>
        <v>0.818076923076923</v>
      </c>
      <c r="AF16" s="231">
        <f>AD16*$D16</f>
        <v>0</v>
      </c>
      <c r="AH16" s="204">
        <f t="shared" si="13"/>
        <v>21.27</v>
      </c>
      <c r="AI16" s="231">
        <f t="shared" si="7"/>
        <v>0</v>
      </c>
      <c r="AK16"/>
      <c r="AL16" s="234">
        <f t="shared" si="14"/>
        <v>19.143</v>
      </c>
      <c r="AM16" s="231">
        <f t="shared" si="15"/>
        <v>0</v>
      </c>
    </row>
    <row r="17" spans="1:39" ht="15">
      <c r="A17" s="106" t="s">
        <v>465</v>
      </c>
      <c r="B17" s="106">
        <v>12</v>
      </c>
      <c r="C17" s="106">
        <f>B17*D17</f>
        <v>240</v>
      </c>
      <c r="D17" s="106">
        <v>20</v>
      </c>
      <c r="E17" s="106"/>
      <c r="F17" s="104"/>
      <c r="G17" s="146">
        <f>G14</f>
        <v>0.629</v>
      </c>
      <c r="H17" s="126">
        <f t="shared" si="8"/>
        <v>7.548</v>
      </c>
      <c r="I17" s="119">
        <f t="shared" si="1"/>
        <v>150.96</v>
      </c>
      <c r="J17"/>
      <c r="K17">
        <f t="shared" si="9"/>
        <v>12</v>
      </c>
      <c r="L17" s="164">
        <f>M17*B17</f>
        <v>6.889999999999999</v>
      </c>
      <c r="M17" s="156">
        <f>M27</f>
        <v>0.5741666666666666</v>
      </c>
      <c r="N17" s="132">
        <f t="shared" si="3"/>
        <v>137.79999999999998</v>
      </c>
      <c r="Q17" s="138">
        <v>6.4</v>
      </c>
      <c r="R17" s="146">
        <v>0.5333333333333333</v>
      </c>
      <c r="S17" s="139">
        <f t="shared" si="4"/>
        <v>128</v>
      </c>
      <c r="V17" s="198">
        <f>W17*B17</f>
        <v>5.512499999999999</v>
      </c>
      <c r="W17" s="265">
        <f>W27</f>
        <v>0.459375</v>
      </c>
      <c r="X17">
        <f t="shared" si="11"/>
        <v>110.24999999999999</v>
      </c>
      <c r="Z17" s="204">
        <f>264.6/30</f>
        <v>8.82</v>
      </c>
      <c r="AA17" s="227">
        <f t="shared" si="5"/>
        <v>0.735</v>
      </c>
      <c r="AB17" s="204">
        <f>Z17*D17</f>
        <v>176.4</v>
      </c>
      <c r="AD17">
        <f>AD27</f>
        <v>7.27</v>
      </c>
      <c r="AE17" s="234">
        <f t="shared" si="6"/>
        <v>0.6058333333333333</v>
      </c>
      <c r="AF17" s="231">
        <f t="shared" si="12"/>
        <v>145.39999999999998</v>
      </c>
      <c r="AH17" s="204">
        <f t="shared" si="13"/>
        <v>5.512499999999999</v>
      </c>
      <c r="AI17" s="231">
        <f t="shared" si="7"/>
        <v>110.24999999999999</v>
      </c>
      <c r="AK17"/>
      <c r="AL17" s="234">
        <f t="shared" si="14"/>
        <v>4.96125</v>
      </c>
      <c r="AM17" s="231">
        <f t="shared" si="15"/>
        <v>99.225</v>
      </c>
    </row>
    <row r="18" spans="1:39" ht="15">
      <c r="A18" s="106" t="s">
        <v>466</v>
      </c>
      <c r="B18" s="106">
        <v>16</v>
      </c>
      <c r="C18" s="106">
        <f>B18*D18</f>
        <v>320</v>
      </c>
      <c r="D18" s="106">
        <v>20</v>
      </c>
      <c r="E18" s="106"/>
      <c r="F18" s="104"/>
      <c r="G18" s="146">
        <f>G14</f>
        <v>0.629</v>
      </c>
      <c r="H18" s="126">
        <f>G18*B18</f>
        <v>10.064</v>
      </c>
      <c r="I18" s="119">
        <f t="shared" si="1"/>
        <v>201.28</v>
      </c>
      <c r="J18"/>
      <c r="K18">
        <f t="shared" si="9"/>
        <v>16</v>
      </c>
      <c r="L18" s="164">
        <f>M18*B18</f>
        <v>9.186666666666666</v>
      </c>
      <c r="M18" s="156">
        <f>M27</f>
        <v>0.5741666666666666</v>
      </c>
      <c r="N18" s="132">
        <f t="shared" si="3"/>
        <v>183.73333333333332</v>
      </c>
      <c r="Q18" s="138">
        <v>8.533333333333333</v>
      </c>
      <c r="R18" s="146">
        <v>0.5333333333333333</v>
      </c>
      <c r="S18" s="139">
        <f t="shared" si="4"/>
        <v>170.66666666666666</v>
      </c>
      <c r="V18" s="198">
        <f>W18*B18</f>
        <v>7.35</v>
      </c>
      <c r="W18" s="265">
        <f>W27</f>
        <v>0.459375</v>
      </c>
      <c r="X18">
        <f t="shared" si="11"/>
        <v>147</v>
      </c>
      <c r="Z18" s="23">
        <f>AA18*B18</f>
        <v>11.76</v>
      </c>
      <c r="AA18" s="227">
        <f>AA17</f>
        <v>0.735</v>
      </c>
      <c r="AB18" s="204">
        <f>Z18*D18</f>
        <v>235.2</v>
      </c>
      <c r="AD18" s="23">
        <f>AE18*16</f>
        <v>9.693333333333333</v>
      </c>
      <c r="AE18" s="237">
        <f>AE17</f>
        <v>0.6058333333333333</v>
      </c>
      <c r="AF18" s="231">
        <f t="shared" si="12"/>
        <v>193.86666666666667</v>
      </c>
      <c r="AH18" s="204">
        <f t="shared" si="13"/>
        <v>7.35</v>
      </c>
      <c r="AI18" s="231">
        <f t="shared" si="7"/>
        <v>147</v>
      </c>
      <c r="AK18"/>
      <c r="AL18" s="234">
        <f t="shared" si="14"/>
        <v>6.615</v>
      </c>
      <c r="AM18" s="231">
        <f t="shared" si="15"/>
        <v>132.3</v>
      </c>
    </row>
    <row r="19" spans="1:39" ht="15">
      <c r="A19" s="106" t="str">
        <f>'Wood Materials'!R217</f>
        <v>2x12 LF Rafters 24'</v>
      </c>
      <c r="B19" s="106">
        <f>'Wood Materials'!R218</f>
        <v>24</v>
      </c>
      <c r="C19" s="106">
        <f>'Wood Materials'!R232</f>
        <v>480</v>
      </c>
      <c r="D19" s="106">
        <f t="shared" si="0"/>
        <v>20</v>
      </c>
      <c r="E19" s="106"/>
      <c r="F19" s="104"/>
      <c r="G19" s="146">
        <f>P2x12x24</f>
        <v>1.4</v>
      </c>
      <c r="H19" s="138">
        <f t="shared" si="8"/>
        <v>33.599999999999994</v>
      </c>
      <c r="I19" s="147">
        <f t="shared" si="1"/>
        <v>672</v>
      </c>
      <c r="J19"/>
      <c r="K19">
        <f t="shared" si="9"/>
        <v>24</v>
      </c>
      <c r="L19" s="127">
        <v>28.49</v>
      </c>
      <c r="M19" s="156">
        <f t="shared" si="2"/>
        <v>1.1870833333333333</v>
      </c>
      <c r="N19" s="132">
        <f t="shared" si="3"/>
        <v>569.8</v>
      </c>
      <c r="Q19" s="171">
        <v>25.200000000000003</v>
      </c>
      <c r="R19" s="145">
        <v>1.05</v>
      </c>
      <c r="S19" s="139">
        <f t="shared" si="4"/>
        <v>504.00000000000006</v>
      </c>
      <c r="V19" s="176">
        <v>28.19</v>
      </c>
      <c r="W19" s="265">
        <f>V19/B19</f>
        <v>1.1745833333333333</v>
      </c>
      <c r="X19">
        <f t="shared" si="11"/>
        <v>563.8000000000001</v>
      </c>
      <c r="Z19">
        <f>AB19/D19</f>
        <v>30.55</v>
      </c>
      <c r="AA19" s="227">
        <f t="shared" si="5"/>
        <v>1.2729166666666667</v>
      </c>
      <c r="AB19" s="204">
        <v>611</v>
      </c>
      <c r="AD19">
        <v>30.27</v>
      </c>
      <c r="AE19" s="234">
        <f>AD19/B19</f>
        <v>1.26125</v>
      </c>
      <c r="AF19" s="231">
        <f t="shared" si="12"/>
        <v>605.4</v>
      </c>
      <c r="AH19" s="204">
        <f t="shared" si="13"/>
        <v>25.200000000000003</v>
      </c>
      <c r="AI19" s="231">
        <f t="shared" si="7"/>
        <v>504.00000000000006</v>
      </c>
      <c r="AK19"/>
      <c r="AL19" s="234">
        <f t="shared" si="14"/>
        <v>22.680000000000003</v>
      </c>
      <c r="AM19" s="231">
        <f t="shared" si="15"/>
        <v>453.6000000000001</v>
      </c>
    </row>
    <row r="20" spans="8:40" ht="15">
      <c r="H20" s="134"/>
      <c r="I20" s="92"/>
      <c r="J20" s="112">
        <f>SUM(I10:I19)</f>
        <v>5002.624</v>
      </c>
      <c r="P20" s="142">
        <f>SUM(N10:N19)</f>
        <v>4417.763333333333</v>
      </c>
      <c r="Q20" s="172"/>
      <c r="R20" s="144"/>
      <c r="S20" s="165"/>
      <c r="T20" s="112">
        <f>SUM(S10:S19)</f>
        <v>4536.736336996338</v>
      </c>
      <c r="V20" s="177"/>
      <c r="W20" s="266"/>
      <c r="X20" s="112"/>
      <c r="Y20" s="133">
        <f>SUM(X10:X19)</f>
        <v>4173.96</v>
      </c>
      <c r="AA20" s="72"/>
      <c r="AC20" s="50"/>
      <c r="AD20" s="50"/>
      <c r="AE20" s="72"/>
      <c r="AF20" s="50"/>
      <c r="AG20" s="272"/>
      <c r="AH20" s="113"/>
      <c r="AI20" s="113"/>
      <c r="AJ20" s="133">
        <f>SUM(AI10:AI19)</f>
        <v>4001.4399999999996</v>
      </c>
      <c r="AK20"/>
      <c r="AN20" s="23">
        <f>SUM(AM10:AM19)</f>
        <v>3601.2960000000003</v>
      </c>
    </row>
    <row r="21" spans="8:37" ht="15">
      <c r="H21" s="134"/>
      <c r="I21" s="92"/>
      <c r="J21" s="115"/>
      <c r="N21" s="132"/>
      <c r="Q21" s="173"/>
      <c r="R21" s="144"/>
      <c r="S21" s="166"/>
      <c r="W21" s="228"/>
      <c r="X21" s="115"/>
      <c r="Y21" s="115"/>
      <c r="Z21" s="115"/>
      <c r="AA21" s="228"/>
      <c r="AC21" s="115"/>
      <c r="AD21" s="115"/>
      <c r="AE21" s="228"/>
      <c r="AF21" s="166"/>
      <c r="AG21" s="273"/>
      <c r="AH21" s="113"/>
      <c r="AI21" s="113"/>
      <c r="AJ21" s="139"/>
      <c r="AK21"/>
    </row>
    <row r="22" spans="1:39" s="26" customFormat="1" ht="15" customHeight="1">
      <c r="A22" s="104" t="str">
        <f>'Wood Materials'!E217</f>
        <v>2x4 LF</v>
      </c>
      <c r="B22" s="104">
        <f>'Wood Materials'!E218</f>
        <v>1</v>
      </c>
      <c r="C22" s="104">
        <f>'Wood Materials'!E232</f>
        <v>131</v>
      </c>
      <c r="D22" s="137">
        <f>(TRUNC(E22/K22)+1)</f>
        <v>11</v>
      </c>
      <c r="E22" s="104">
        <f>C22/B22</f>
        <v>131</v>
      </c>
      <c r="F22" s="104"/>
      <c r="G22" s="146">
        <f>P2x4</f>
        <v>0.2975</v>
      </c>
      <c r="H22" s="138">
        <f>G22*K22</f>
        <v>3.57</v>
      </c>
      <c r="I22" s="147">
        <f>G22*C22</f>
        <v>38.9725</v>
      </c>
      <c r="J22" s="115"/>
      <c r="K22" s="137">
        <v>12</v>
      </c>
      <c r="L22" s="137">
        <v>3.29</v>
      </c>
      <c r="M22" s="159">
        <f>L22/K22</f>
        <v>0.27416666666666667</v>
      </c>
      <c r="N22" s="133">
        <f>M22*C22</f>
        <v>35.91583333333333</v>
      </c>
      <c r="P22" s="143"/>
      <c r="Q22" s="241">
        <v>2.3664285714285715</v>
      </c>
      <c r="R22" s="197">
        <v>0.19720238095238096</v>
      </c>
      <c r="S22" s="166"/>
      <c r="U22" s="178">
        <v>16</v>
      </c>
      <c r="V22" s="178">
        <v>3.59</v>
      </c>
      <c r="W22" s="228">
        <f>V22/U22</f>
        <v>0.224375</v>
      </c>
      <c r="X22" s="139">
        <f>V22*(TRUNC(E22/U22)+1)</f>
        <v>32.31</v>
      </c>
      <c r="Y22" s="115">
        <v>12</v>
      </c>
      <c r="Z22" s="115">
        <f>AB22/11</f>
        <v>3.83</v>
      </c>
      <c r="AA22" s="228"/>
      <c r="AB22" s="204">
        <v>42.13</v>
      </c>
      <c r="AC22" s="26">
        <v>10</v>
      </c>
      <c r="AD22" s="26">
        <v>2.59</v>
      </c>
      <c r="AE22" s="228">
        <f>AD22/AC22</f>
        <v>0.259</v>
      </c>
      <c r="AF22" s="231">
        <f>AD22*D22</f>
        <v>28.49</v>
      </c>
      <c r="AG22" s="273"/>
      <c r="AH22" s="204">
        <f>MIN(Q22,L22,H22,V22,Z22,AD22)</f>
        <v>2.3664285714285715</v>
      </c>
      <c r="AI22" s="261">
        <f>AH22*D22</f>
        <v>26.030714285714286</v>
      </c>
      <c r="AJ22" s="140"/>
      <c r="AL22" s="234">
        <f>IF(AH22=Z22,AH22,AH22*0.9)</f>
        <v>2.1297857142857146</v>
      </c>
      <c r="AM22" s="231">
        <f>AL22*$D22</f>
        <v>23.42764285714286</v>
      </c>
    </row>
    <row r="23" spans="1:38" s="26" customFormat="1" ht="15">
      <c r="A23" s="104" t="str">
        <f>'Wood Materials'!I217</f>
        <v>2x6 Base-Top Ft.</v>
      </c>
      <c r="B23" s="104">
        <f>'Wood Materials'!I218</f>
        <v>1</v>
      </c>
      <c r="C23" s="104">
        <f>'Wood Materials'!I232</f>
        <v>2381</v>
      </c>
      <c r="D23" s="100"/>
      <c r="E23" s="100"/>
      <c r="F23" s="100"/>
      <c r="G23" s="148"/>
      <c r="H23" s="154"/>
      <c r="I23" s="149"/>
      <c r="J23" s="111"/>
      <c r="K23" s="100"/>
      <c r="L23" s="135"/>
      <c r="M23" s="160"/>
      <c r="N23" s="134"/>
      <c r="P23" s="143"/>
      <c r="Q23" s="174"/>
      <c r="R23" s="145"/>
      <c r="S23" s="167"/>
      <c r="U23" s="179"/>
      <c r="V23" s="179"/>
      <c r="W23" s="229"/>
      <c r="X23" s="111"/>
      <c r="Y23" s="111">
        <v>16</v>
      </c>
      <c r="Z23" s="111"/>
      <c r="AA23" s="229"/>
      <c r="AB23" s="204">
        <v>1851.75</v>
      </c>
      <c r="AC23" s="111"/>
      <c r="AD23" s="111"/>
      <c r="AE23" s="229"/>
      <c r="AF23" s="167"/>
      <c r="AG23" s="274"/>
      <c r="AH23" s="113"/>
      <c r="AI23" s="113"/>
      <c r="AJ23" s="140"/>
      <c r="AL23" s="235"/>
    </row>
    <row r="24" spans="1:38" s="26" customFormat="1" ht="15">
      <c r="A24" s="104" t="str">
        <f>'Wood Materials'!J217</f>
        <v>2x6 misc Ft</v>
      </c>
      <c r="B24" s="104">
        <f>'Wood Materials'!J218</f>
        <v>1</v>
      </c>
      <c r="C24" s="105">
        <f>'Wood Materials'!J232</f>
        <v>1210</v>
      </c>
      <c r="D24" s="136"/>
      <c r="E24" s="100"/>
      <c r="F24" s="100"/>
      <c r="G24" s="148"/>
      <c r="H24" s="154"/>
      <c r="I24" s="149"/>
      <c r="K24" s="135"/>
      <c r="L24" s="135"/>
      <c r="M24" s="160"/>
      <c r="N24" s="134"/>
      <c r="P24" s="143"/>
      <c r="Q24" s="140"/>
      <c r="R24" s="145"/>
      <c r="S24" s="140"/>
      <c r="U24" s="179"/>
      <c r="V24" s="179"/>
      <c r="W24" s="267"/>
      <c r="AA24" s="227"/>
      <c r="AB24" s="224"/>
      <c r="AE24" s="235"/>
      <c r="AF24" s="232"/>
      <c r="AG24" s="275"/>
      <c r="AH24" s="224"/>
      <c r="AI24" s="262"/>
      <c r="AJ24" s="140"/>
      <c r="AL24" s="235"/>
    </row>
    <row r="25" spans="1:38" s="26" customFormat="1" ht="15">
      <c r="A25" s="120" t="str">
        <f>'Wood Materials'!K217</f>
        <v>3 2x6 Headers</v>
      </c>
      <c r="B25" s="120">
        <v>1</v>
      </c>
      <c r="C25" s="120">
        <f>'Wood Materials'!K232</f>
        <v>80</v>
      </c>
      <c r="D25" s="100"/>
      <c r="E25" s="100"/>
      <c r="F25" s="100"/>
      <c r="G25" s="148"/>
      <c r="H25" s="154"/>
      <c r="I25" s="149"/>
      <c r="K25" s="100"/>
      <c r="L25" s="100"/>
      <c r="M25" s="161"/>
      <c r="N25" s="134"/>
      <c r="P25" s="143"/>
      <c r="Q25" s="140"/>
      <c r="R25" s="145"/>
      <c r="S25" s="140"/>
      <c r="U25" s="179"/>
      <c r="V25" s="179"/>
      <c r="W25" s="267"/>
      <c r="AA25" s="227"/>
      <c r="AB25" s="224"/>
      <c r="AE25" s="235"/>
      <c r="AF25" s="232"/>
      <c r="AG25" s="275"/>
      <c r="AH25" s="224"/>
      <c r="AI25" s="262"/>
      <c r="AJ25" s="140"/>
      <c r="AL25" s="235"/>
    </row>
    <row r="26" spans="1:39" s="26" customFormat="1" ht="15">
      <c r="A26" s="104" t="s">
        <v>459</v>
      </c>
      <c r="B26" s="104"/>
      <c r="C26" s="104">
        <f>SUM(C22:C25)</f>
        <v>3802</v>
      </c>
      <c r="D26" s="137">
        <f>(TRUNC(E26/K26)+1)</f>
        <v>238</v>
      </c>
      <c r="E26" s="105">
        <f>SUM(C22:C25)</f>
        <v>3802</v>
      </c>
      <c r="F26" s="105"/>
      <c r="G26" s="146">
        <f>P2x6</f>
        <v>0.438</v>
      </c>
      <c r="H26" s="138">
        <f aca="true" t="shared" si="16" ref="H26:H32">G26*K26</f>
        <v>7.008</v>
      </c>
      <c r="I26" s="147">
        <f>G26*E26</f>
        <v>1665.276</v>
      </c>
      <c r="K26" s="137">
        <v>16</v>
      </c>
      <c r="L26" s="137">
        <v>6.39</v>
      </c>
      <c r="M26" s="159">
        <f>L26/K26</f>
        <v>0.399375</v>
      </c>
      <c r="N26" s="138">
        <f>D26*L26</f>
        <v>1520.82</v>
      </c>
      <c r="P26" s="210">
        <f>Q26/R26</f>
        <v>16</v>
      </c>
      <c r="Q26" s="140">
        <v>5.575170962651236</v>
      </c>
      <c r="R26" s="145">
        <v>0.34844818516570225</v>
      </c>
      <c r="S26" s="139">
        <f aca="true" t="shared" si="17" ref="S26:S32">Q26*D26</f>
        <v>1326.8906891109941</v>
      </c>
      <c r="U26" s="178">
        <v>16</v>
      </c>
      <c r="V26" s="200">
        <v>5.34</v>
      </c>
      <c r="W26" s="267">
        <f aca="true" t="shared" si="18" ref="W26:W32">V26/U26</f>
        <v>0.33375</v>
      </c>
      <c r="X26" s="139">
        <f>V26*(TRUNC(E26/U26)+1)</f>
        <v>1270.92</v>
      </c>
      <c r="Y26" s="26">
        <v>16</v>
      </c>
      <c r="Z26" s="26">
        <f>1851.75/225</f>
        <v>8.23</v>
      </c>
      <c r="AA26" s="227">
        <f>Z26/Y26</f>
        <v>0.514375</v>
      </c>
      <c r="AB26" s="139">
        <f>(TRUNC(C26/Y26)+1)*Z26</f>
        <v>1958.74</v>
      </c>
      <c r="AC26" s="26">
        <v>16</v>
      </c>
      <c r="AD26" s="26">
        <v>8.11</v>
      </c>
      <c r="AE26" s="235">
        <f>AD26/AC26</f>
        <v>0.506875</v>
      </c>
      <c r="AF26" s="231">
        <f aca="true" t="shared" si="19" ref="AF26:AF32">AD26*D26</f>
        <v>1930.1799999999998</v>
      </c>
      <c r="AG26" s="275"/>
      <c r="AH26" s="204">
        <f>MIN(Q26,L26,H26,V26,Z26,AD26)</f>
        <v>5.34</v>
      </c>
      <c r="AI26" s="231">
        <f>MIN(S26,N26,I26,X26)</f>
        <v>1270.92</v>
      </c>
      <c r="AJ26" s="196"/>
      <c r="AL26" s="234">
        <f aca="true" t="shared" si="20" ref="AL26:AL32">IF(AH26=Z26,AH26,AH26*0.9)</f>
        <v>4.806</v>
      </c>
      <c r="AM26" s="231">
        <f aca="true" t="shared" si="21" ref="AM26:AM32">AL26*$D26</f>
        <v>1143.828</v>
      </c>
    </row>
    <row r="27" spans="1:39" s="210" customFormat="1" ht="15">
      <c r="A27" s="205" t="str">
        <f>'Wood Materials'!L217</f>
        <v>3-2x8 Headers</v>
      </c>
      <c r="B27" s="205">
        <v>1</v>
      </c>
      <c r="C27" s="205">
        <f>'Wood Materials'!L232</f>
        <v>366</v>
      </c>
      <c r="D27" s="206">
        <f>(TRUNC(E27/K27)+1)</f>
        <v>31</v>
      </c>
      <c r="E27" s="205">
        <f aca="true" t="shared" si="22" ref="E27:E32">C27/B27</f>
        <v>366</v>
      </c>
      <c r="F27" s="205"/>
      <c r="G27" s="207">
        <f>P2x8</f>
        <v>0.629</v>
      </c>
      <c r="H27" s="208">
        <f t="shared" si="16"/>
        <v>7.548</v>
      </c>
      <c r="I27" s="209">
        <f aca="true" t="shared" si="23" ref="I27:I32">G27*C27</f>
        <v>230.214</v>
      </c>
      <c r="K27" s="211">
        <v>12</v>
      </c>
      <c r="L27" s="212">
        <v>6.89</v>
      </c>
      <c r="M27" s="213">
        <f>L27/K27</f>
        <v>0.5741666666666666</v>
      </c>
      <c r="N27" s="214">
        <f>M27*C27</f>
        <v>210.14499999999998</v>
      </c>
      <c r="P27" s="210">
        <f>Q27/R27</f>
        <v>12</v>
      </c>
      <c r="Q27" s="171">
        <v>6.399891891891893</v>
      </c>
      <c r="R27" s="215">
        <v>0.5333243243243244</v>
      </c>
      <c r="S27" s="214">
        <f t="shared" si="17"/>
        <v>198.3966486486487</v>
      </c>
      <c r="U27" s="216">
        <v>16</v>
      </c>
      <c r="V27" s="216">
        <v>7.35</v>
      </c>
      <c r="W27" s="268">
        <f t="shared" si="18"/>
        <v>0.459375</v>
      </c>
      <c r="X27" s="214">
        <f>V27*(TRUNC(E27/U27)+1)</f>
        <v>169.04999999999998</v>
      </c>
      <c r="Y27" s="210">
        <v>12</v>
      </c>
      <c r="Z27" s="210">
        <f>264.3/30</f>
        <v>8.81</v>
      </c>
      <c r="AA27" s="227">
        <f>Z27/Y27</f>
        <v>0.7341666666666667</v>
      </c>
      <c r="AB27" s="139">
        <f>(TRUNC(C27/Y27)+1)*Z27</f>
        <v>273.11</v>
      </c>
      <c r="AC27" s="210">
        <v>12</v>
      </c>
      <c r="AD27" s="210">
        <v>7.27</v>
      </c>
      <c r="AE27" s="235">
        <f>AD27/AC27</f>
        <v>0.6058333333333333</v>
      </c>
      <c r="AF27" s="231">
        <f t="shared" si="19"/>
        <v>225.36999999999998</v>
      </c>
      <c r="AG27" s="276"/>
      <c r="AH27" s="204">
        <f>MIN(Q27,L27,H27,V27,Z27,AD27)</f>
        <v>6.399891891891893</v>
      </c>
      <c r="AI27" s="214">
        <f>MIN(S27,N27,I27,X27)</f>
        <v>169.04999999999998</v>
      </c>
      <c r="AJ27" s="214"/>
      <c r="AL27" s="234">
        <f t="shared" si="20"/>
        <v>5.759902702702703</v>
      </c>
      <c r="AM27" s="231">
        <f t="shared" si="21"/>
        <v>178.5569837837838</v>
      </c>
    </row>
    <row r="28" spans="1:39" s="26" customFormat="1" ht="15">
      <c r="A28" s="104" t="str">
        <f>'Wood Materials'!M217</f>
        <v>3-2x10 Headers</v>
      </c>
      <c r="B28" s="104">
        <v>1</v>
      </c>
      <c r="C28" s="104">
        <f>'Wood Materials'!M232</f>
        <v>54</v>
      </c>
      <c r="D28" s="137">
        <f>(TRUNC(E28/K28)+1)</f>
        <v>5</v>
      </c>
      <c r="E28" s="104">
        <f t="shared" si="22"/>
        <v>54</v>
      </c>
      <c r="F28" s="104"/>
      <c r="G28" s="146">
        <f>P2x10</f>
        <v>0.778</v>
      </c>
      <c r="H28" s="138">
        <f t="shared" si="16"/>
        <v>9.336</v>
      </c>
      <c r="I28" s="147">
        <f t="shared" si="23"/>
        <v>42.012</v>
      </c>
      <c r="K28" s="127">
        <v>12</v>
      </c>
      <c r="L28" s="128">
        <v>10.79</v>
      </c>
      <c r="M28" s="156">
        <f>L28/K28</f>
        <v>0.8991666666666666</v>
      </c>
      <c r="N28" s="132">
        <f>M28*C28</f>
        <v>48.55499999999999</v>
      </c>
      <c r="P28" s="210">
        <f>Q28/R28</f>
        <v>12.000000000000002</v>
      </c>
      <c r="Q28" s="171">
        <v>8.3</v>
      </c>
      <c r="R28" s="145">
        <v>0.6916666666666667</v>
      </c>
      <c r="S28" s="139">
        <f t="shared" si="17"/>
        <v>41.5</v>
      </c>
      <c r="U28" s="179">
        <v>16</v>
      </c>
      <c r="V28" s="179">
        <v>10.4</v>
      </c>
      <c r="W28" s="267">
        <f t="shared" si="18"/>
        <v>0.65</v>
      </c>
      <c r="X28" s="139">
        <f>V28*(TRUNC(E28/U28)+1)</f>
        <v>41.6</v>
      </c>
      <c r="Y28" s="26">
        <v>12</v>
      </c>
      <c r="Z28" s="26">
        <f>71.2/5</f>
        <v>14.24</v>
      </c>
      <c r="AA28" s="227">
        <f>Z28/Y28</f>
        <v>1.1866666666666668</v>
      </c>
      <c r="AB28" s="139">
        <f>(TRUNC(C28/Y28)+1)*Z28</f>
        <v>71.2</v>
      </c>
      <c r="AC28" s="26">
        <v>12</v>
      </c>
      <c r="AD28" s="26">
        <v>9.59</v>
      </c>
      <c r="AE28" s="235">
        <f>AD28/AC28</f>
        <v>0.7991666666666667</v>
      </c>
      <c r="AF28" s="231">
        <f t="shared" si="19"/>
        <v>47.95</v>
      </c>
      <c r="AG28" s="275"/>
      <c r="AH28" s="204">
        <f>MIN(Q28,L28,H28,V28,Z28,AD28)</f>
        <v>8.3</v>
      </c>
      <c r="AI28" s="231">
        <f>MIN(S28,N28,I28,X28)</f>
        <v>41.5</v>
      </c>
      <c r="AJ28" s="140"/>
      <c r="AL28" s="234">
        <f t="shared" si="20"/>
        <v>7.470000000000001</v>
      </c>
      <c r="AM28" s="231">
        <f t="shared" si="21"/>
        <v>37.35</v>
      </c>
    </row>
    <row r="29" spans="1:39" s="26" customFormat="1" ht="15">
      <c r="A29" s="104" t="str">
        <f>'Wood Materials'!N217</f>
        <v>3-2x12 Headers</v>
      </c>
      <c r="B29" s="104">
        <v>1</v>
      </c>
      <c r="C29" s="104">
        <f>'Wood Materials'!N232</f>
        <v>429</v>
      </c>
      <c r="D29" s="137">
        <f>(TRUNC(E29/K29)+1)</f>
        <v>36</v>
      </c>
      <c r="E29" s="104">
        <f t="shared" si="22"/>
        <v>429</v>
      </c>
      <c r="F29" s="104"/>
      <c r="G29" s="146">
        <f>P2x12</f>
        <v>0.9983333333333334</v>
      </c>
      <c r="H29" s="138">
        <f t="shared" si="16"/>
        <v>11.98</v>
      </c>
      <c r="I29" s="147">
        <f t="shared" si="23"/>
        <v>428.285</v>
      </c>
      <c r="K29" s="127">
        <v>12</v>
      </c>
      <c r="L29" s="128">
        <v>11.99</v>
      </c>
      <c r="M29" s="156">
        <f>L29/K29</f>
        <v>0.9991666666666666</v>
      </c>
      <c r="N29" s="132">
        <f>M29*C29</f>
        <v>428.6425</v>
      </c>
      <c r="P29" s="210">
        <f>Q29/R29</f>
        <v>12.000000000000002</v>
      </c>
      <c r="Q29" s="171">
        <v>10.20279069767442</v>
      </c>
      <c r="R29" s="145">
        <v>0.8502325581395349</v>
      </c>
      <c r="S29" s="139">
        <f>Q29*D29</f>
        <v>367.3004651162791</v>
      </c>
      <c r="U29" s="179">
        <v>16</v>
      </c>
      <c r="V29" s="179">
        <v>13.8</v>
      </c>
      <c r="W29" s="267">
        <f t="shared" si="18"/>
        <v>0.8625</v>
      </c>
      <c r="X29" s="139">
        <f>V29*(TRUNC(E29/U29)+1)</f>
        <v>372.6</v>
      </c>
      <c r="Y29" s="26">
        <v>12</v>
      </c>
      <c r="Z29" s="26">
        <f>606.24/36</f>
        <v>16.84</v>
      </c>
      <c r="AA29" s="227">
        <f>Z29/Y29</f>
        <v>1.4033333333333333</v>
      </c>
      <c r="AB29" s="139">
        <f>(TRUNC(C29/Y29)+1)*Z29</f>
        <v>606.24</v>
      </c>
      <c r="AC29" s="26">
        <v>12</v>
      </c>
      <c r="AD29" s="26">
        <v>11.78</v>
      </c>
      <c r="AE29" s="235">
        <f>AD29/AC29</f>
        <v>0.9816666666666666</v>
      </c>
      <c r="AF29" s="231">
        <f t="shared" si="19"/>
        <v>424.08</v>
      </c>
      <c r="AG29" s="275"/>
      <c r="AH29" s="204">
        <f>MIN(Q29,L29,H29,V29,Z29,AD29)</f>
        <v>10.20279069767442</v>
      </c>
      <c r="AI29" s="231">
        <f>MIN(S29,N29,I29,X29)</f>
        <v>367.3004651162791</v>
      </c>
      <c r="AJ29" s="140"/>
      <c r="AL29" s="234">
        <f t="shared" si="20"/>
        <v>9.182511627906978</v>
      </c>
      <c r="AM29" s="231">
        <f t="shared" si="21"/>
        <v>330.5704186046512</v>
      </c>
    </row>
    <row r="30" spans="1:39" s="26" customFormat="1" ht="15">
      <c r="A30" s="104" t="str">
        <f>'Wood Materials'!V217</f>
        <v>2x8 Sill Plate Treated</v>
      </c>
      <c r="B30" s="104">
        <v>1</v>
      </c>
      <c r="C30" s="104">
        <f>'Wood Materials'!W231</f>
        <v>224</v>
      </c>
      <c r="D30" s="137"/>
      <c r="E30" s="104">
        <f t="shared" si="22"/>
        <v>224</v>
      </c>
      <c r="F30" s="104"/>
      <c r="G30" s="146">
        <f>PT2x8Sill</f>
        <v>0.8</v>
      </c>
      <c r="H30" s="138">
        <f t="shared" si="16"/>
        <v>0</v>
      </c>
      <c r="I30" s="147">
        <f t="shared" si="23"/>
        <v>179.20000000000002</v>
      </c>
      <c r="K30" s="127"/>
      <c r="L30" s="128"/>
      <c r="M30" s="156"/>
      <c r="N30" s="134"/>
      <c r="P30" s="210"/>
      <c r="Q30" s="140"/>
      <c r="R30" s="145"/>
      <c r="S30" s="139">
        <f t="shared" si="17"/>
        <v>0</v>
      </c>
      <c r="U30" s="179">
        <v>16</v>
      </c>
      <c r="V30" s="179">
        <v>11.79</v>
      </c>
      <c r="W30" s="267">
        <f t="shared" si="18"/>
        <v>0.736875</v>
      </c>
      <c r="X30" s="140">
        <f>V30*(TRUNC(E30/U30)+1)</f>
        <v>176.85</v>
      </c>
      <c r="Y30" s="26">
        <v>16</v>
      </c>
      <c r="Z30" s="26">
        <f>195.58/14</f>
        <v>13.97</v>
      </c>
      <c r="AA30" s="227">
        <f>Z30/Y30</f>
        <v>0.873125</v>
      </c>
      <c r="AB30" s="139">
        <f>(TRUNC(C30/Y30)+1)*Z30</f>
        <v>209.55</v>
      </c>
      <c r="AC30" s="26">
        <v>16</v>
      </c>
      <c r="AD30" s="26">
        <v>11.82</v>
      </c>
      <c r="AE30" s="235">
        <f>AD30/AC30</f>
        <v>0.73875</v>
      </c>
      <c r="AF30" s="231">
        <f t="shared" si="19"/>
        <v>0</v>
      </c>
      <c r="AG30" s="275"/>
      <c r="AH30" s="224"/>
      <c r="AI30" s="262"/>
      <c r="AJ30" s="140"/>
      <c r="AL30" s="234">
        <f t="shared" si="20"/>
        <v>0</v>
      </c>
      <c r="AM30" s="231">
        <f t="shared" si="21"/>
        <v>0</v>
      </c>
    </row>
    <row r="31" spans="1:39" s="26" customFormat="1" ht="15">
      <c r="A31" s="104" t="str">
        <f>'Wood Materials'!T217</f>
        <v>11-7/8x5.25 PARALAM</v>
      </c>
      <c r="B31" s="104">
        <f>'Wood Materials'!T218</f>
        <v>1</v>
      </c>
      <c r="C31" s="104">
        <f>'Wood Materials'!T232</f>
        <v>34</v>
      </c>
      <c r="D31" s="137">
        <v>34</v>
      </c>
      <c r="E31" s="104">
        <f t="shared" si="22"/>
        <v>34</v>
      </c>
      <c r="F31" s="104"/>
      <c r="G31" s="146">
        <f>Para5x11</f>
        <v>14</v>
      </c>
      <c r="H31" s="138">
        <f t="shared" si="16"/>
        <v>14</v>
      </c>
      <c r="I31" s="147">
        <f t="shared" si="23"/>
        <v>476</v>
      </c>
      <c r="K31" s="127">
        <v>1</v>
      </c>
      <c r="L31" s="128">
        <v>13.49</v>
      </c>
      <c r="M31" s="158">
        <f>L31/K31</f>
        <v>13.49</v>
      </c>
      <c r="N31" s="132">
        <f>M31*C31</f>
        <v>458.66</v>
      </c>
      <c r="P31" s="210"/>
      <c r="Q31" s="140">
        <v>13.834117647058823</v>
      </c>
      <c r="R31" s="145">
        <v>13.834117647058823</v>
      </c>
      <c r="S31" s="139">
        <f t="shared" si="17"/>
        <v>470.36</v>
      </c>
      <c r="U31" s="179">
        <v>1</v>
      </c>
      <c r="V31" s="179">
        <v>14.63</v>
      </c>
      <c r="W31" s="267">
        <f t="shared" si="18"/>
        <v>14.63</v>
      </c>
      <c r="X31" s="139">
        <f>V31*$D31</f>
        <v>497.42</v>
      </c>
      <c r="Z31" s="102">
        <f>435.2/34</f>
        <v>12.799999999999999</v>
      </c>
      <c r="AA31" s="227">
        <f>Z31</f>
        <v>12.799999999999999</v>
      </c>
      <c r="AB31" s="139">
        <f>Z31*C31</f>
        <v>435.2</v>
      </c>
      <c r="AD31" s="26">
        <v>14.2</v>
      </c>
      <c r="AE31" s="235">
        <f>AD31</f>
        <v>14.2</v>
      </c>
      <c r="AF31" s="231">
        <f t="shared" si="19"/>
        <v>482.79999999999995</v>
      </c>
      <c r="AG31" s="275"/>
      <c r="AH31" s="204">
        <f>MIN(Q31,L31,H31,V31,Z31,AD31)</f>
        <v>12.799999999999999</v>
      </c>
      <c r="AI31" s="261">
        <f>AH31*D31</f>
        <v>435.2</v>
      </c>
      <c r="AJ31" s="140"/>
      <c r="AL31" s="234">
        <f t="shared" si="20"/>
        <v>12.799999999999999</v>
      </c>
      <c r="AM31" s="231">
        <f t="shared" si="21"/>
        <v>435.2</v>
      </c>
    </row>
    <row r="32" spans="1:39" s="26" customFormat="1" ht="15">
      <c r="A32" s="104" t="str">
        <f>'Wood Materials'!U217</f>
        <v>5.25x16 paralam RIDGE</v>
      </c>
      <c r="B32" s="104">
        <f>'Wood Materials'!U218</f>
        <v>1</v>
      </c>
      <c r="C32" s="104">
        <f>'Wood Materials'!U232</f>
        <v>46</v>
      </c>
      <c r="D32" s="137">
        <v>46</v>
      </c>
      <c r="E32" s="104">
        <f t="shared" si="22"/>
        <v>46</v>
      </c>
      <c r="F32" s="104"/>
      <c r="G32" s="146">
        <f>Para5x16</f>
        <v>19</v>
      </c>
      <c r="H32" s="138">
        <f t="shared" si="16"/>
        <v>19</v>
      </c>
      <c r="I32" s="147">
        <f t="shared" si="23"/>
        <v>874</v>
      </c>
      <c r="K32" s="127">
        <v>1</v>
      </c>
      <c r="L32" s="128">
        <v>18.99</v>
      </c>
      <c r="M32" s="158">
        <f>L32/K32</f>
        <v>18.99</v>
      </c>
      <c r="N32" s="132">
        <f>M32*C32</f>
        <v>873.54</v>
      </c>
      <c r="P32" s="210"/>
      <c r="Q32" s="140">
        <v>19.66</v>
      </c>
      <c r="R32" s="145">
        <v>19.66</v>
      </c>
      <c r="S32" s="139">
        <f t="shared" si="17"/>
        <v>904.36</v>
      </c>
      <c r="U32" s="179">
        <v>1</v>
      </c>
      <c r="V32" s="179">
        <v>20.11</v>
      </c>
      <c r="W32" s="267">
        <f t="shared" si="18"/>
        <v>20.11</v>
      </c>
      <c r="X32" s="139">
        <f>V32*$D32</f>
        <v>925.06</v>
      </c>
      <c r="Z32" s="102">
        <f>800.4/46</f>
        <v>17.4</v>
      </c>
      <c r="AA32" s="227">
        <f>Z32</f>
        <v>17.4</v>
      </c>
      <c r="AB32" s="139">
        <f>Z32*C32</f>
        <v>800.4</v>
      </c>
      <c r="AD32" s="26">
        <v>19.28</v>
      </c>
      <c r="AE32" s="235">
        <f>AD32</f>
        <v>19.28</v>
      </c>
      <c r="AF32" s="231">
        <f t="shared" si="19"/>
        <v>886.8800000000001</v>
      </c>
      <c r="AG32" s="275"/>
      <c r="AH32" s="204">
        <f>MIN(Q32,L32,H32,V32,Z32,AD32)</f>
        <v>17.4</v>
      </c>
      <c r="AI32" s="261">
        <f>AH32*D32</f>
        <v>800.4</v>
      </c>
      <c r="AJ32" s="140"/>
      <c r="AL32" s="234">
        <f t="shared" si="20"/>
        <v>17.4</v>
      </c>
      <c r="AM32" s="231">
        <f t="shared" si="21"/>
        <v>800.4</v>
      </c>
    </row>
    <row r="33" spans="8:40" ht="15">
      <c r="H33" s="134">
        <f>SUM(I10:I32)</f>
        <v>8936.583499999999</v>
      </c>
      <c r="I33" s="92"/>
      <c r="J33" s="23">
        <f>SUM(I26:I32)</f>
        <v>3894.9869999999996</v>
      </c>
      <c r="P33" s="142">
        <f>SUM(N22:N32)</f>
        <v>3576.278333333333</v>
      </c>
      <c r="R33" s="144"/>
      <c r="T33" s="23">
        <f>SUM(S26:S32)</f>
        <v>3308.8078028759223</v>
      </c>
      <c r="V33" s="180"/>
      <c r="X33" s="23"/>
      <c r="Y33" s="133">
        <f>SUM(X22:X32)</f>
        <v>3485.81</v>
      </c>
      <c r="Z33" s="50"/>
      <c r="AA33" s="72"/>
      <c r="AB33" s="50"/>
      <c r="AC33" s="50"/>
      <c r="AD33" s="50"/>
      <c r="AE33" s="72"/>
      <c r="AF33" s="50"/>
      <c r="AG33" s="272"/>
      <c r="AJ33" s="133">
        <f>SUM(AI22:AI32)</f>
        <v>3110.4011794019934</v>
      </c>
      <c r="AK33"/>
      <c r="AN33" s="133">
        <f>SUM(AM22:AM32)</f>
        <v>2949.333045245578</v>
      </c>
    </row>
    <row r="34" spans="3:37" ht="15">
      <c r="C34" t="s">
        <v>204</v>
      </c>
      <c r="D34" t="s">
        <v>406</v>
      </c>
      <c r="H34" s="134"/>
      <c r="I34" s="92"/>
      <c r="J34"/>
      <c r="N34" s="132"/>
      <c r="R34" s="144"/>
      <c r="AJ34" s="139"/>
      <c r="AK34"/>
    </row>
    <row r="35" spans="1:39" s="26" customFormat="1" ht="30">
      <c r="A35" s="278" t="s">
        <v>436</v>
      </c>
      <c r="B35" s="104">
        <f>8*4</f>
        <v>32</v>
      </c>
      <c r="C35" s="105">
        <f>'Wood Materials'!H243</f>
        <v>3586.658351271065</v>
      </c>
      <c r="D35" s="147">
        <f>C35/4/8</f>
        <v>112.08307347722078</v>
      </c>
      <c r="E35" s="104"/>
      <c r="F35" s="104"/>
      <c r="G35" s="146">
        <f>ADV_TQ_TG</f>
        <v>0.6825</v>
      </c>
      <c r="H35" s="138">
        <f aca="true" t="shared" si="24" ref="H35:H41">G35*B35</f>
        <v>21.84</v>
      </c>
      <c r="I35" s="147">
        <f aca="true" t="shared" si="25" ref="I35:I41">C35*G35</f>
        <v>2447.894324742502</v>
      </c>
      <c r="K35" s="127">
        <f>B35</f>
        <v>32</v>
      </c>
      <c r="L35" s="279">
        <f>L36</f>
        <v>7.74</v>
      </c>
      <c r="M35" s="158">
        <f aca="true" t="shared" si="26" ref="M35:M41">L35/K35</f>
        <v>0.241875</v>
      </c>
      <c r="N35" s="232">
        <f>M35*D35</f>
        <v>27.110093397302776</v>
      </c>
      <c r="P35" s="235"/>
      <c r="Q35" s="232">
        <f>Q36</f>
        <v>7.048337863504179</v>
      </c>
      <c r="R35" s="197"/>
      <c r="S35" s="232">
        <f>Q35*$D35</f>
        <v>789.9993706474163</v>
      </c>
      <c r="U35" s="179"/>
      <c r="V35" s="198">
        <v>6.57</v>
      </c>
      <c r="W35" s="267">
        <f aca="true" t="shared" si="27" ref="W35:W40">V35/B35</f>
        <v>0.2053125</v>
      </c>
      <c r="X35" s="232">
        <f>V35*$D35</f>
        <v>736.3857927453405</v>
      </c>
      <c r="Z35" s="26">
        <v>6.97</v>
      </c>
      <c r="AA35" s="235">
        <f aca="true" t="shared" si="28" ref="AA35:AA40">Z35/B35</f>
        <v>0.2178125</v>
      </c>
      <c r="AB35" s="232">
        <f>D35*Z35</f>
        <v>781.2190221362288</v>
      </c>
      <c r="AD35" s="26">
        <v>6.88</v>
      </c>
      <c r="AE35" s="235">
        <f>AD35/B35</f>
        <v>0.215</v>
      </c>
      <c r="AF35" s="232">
        <f aca="true" t="shared" si="29" ref="AF35:AF41">AD35*D35</f>
        <v>771.131545523279</v>
      </c>
      <c r="AG35" s="275"/>
      <c r="AH35" s="232">
        <f aca="true" t="shared" si="30" ref="AH35:AH40">MIN(Q35,L35,H35,V35,Z35,AD35)</f>
        <v>6.57</v>
      </c>
      <c r="AI35" s="262">
        <f>AH35*D35</f>
        <v>736.3857927453405</v>
      </c>
      <c r="AJ35" s="232"/>
      <c r="AL35" s="235">
        <f aca="true" t="shared" si="31" ref="AL35:AL41">IF(AH35=Z35,AH35,AH35*0.9)</f>
        <v>5.913</v>
      </c>
      <c r="AM35" s="232">
        <f aca="true" t="shared" si="32" ref="AM35:AM40">AL35*$D35</f>
        <v>662.7472134708065</v>
      </c>
    </row>
    <row r="36" spans="1:39" ht="15">
      <c r="A36" s="106" t="s">
        <v>437</v>
      </c>
      <c r="B36" s="106">
        <f>8*4</f>
        <v>32</v>
      </c>
      <c r="C36" s="107">
        <f>'Wood Materials'!H254</f>
        <v>5426.666666666666</v>
      </c>
      <c r="D36" s="107">
        <f>C36/4/8</f>
        <v>169.58333333333331</v>
      </c>
      <c r="E36" s="106"/>
      <c r="F36" s="104"/>
      <c r="G36" s="146">
        <f>SH_OSB</f>
        <v>0.2178125</v>
      </c>
      <c r="H36" s="138">
        <f t="shared" si="24"/>
        <v>6.97</v>
      </c>
      <c r="I36" s="147">
        <f t="shared" si="25"/>
        <v>1181.9958333333332</v>
      </c>
      <c r="J36"/>
      <c r="K36" s="127">
        <f>B36</f>
        <v>32</v>
      </c>
      <c r="L36" s="128">
        <v>7.74</v>
      </c>
      <c r="M36" s="156">
        <f t="shared" si="26"/>
        <v>0.241875</v>
      </c>
      <c r="N36" s="132">
        <f>M36*D36</f>
        <v>41.017968749999994</v>
      </c>
      <c r="Q36" s="171">
        <v>7.048337863504179</v>
      </c>
      <c r="R36" s="144">
        <v>0.2202605582345056</v>
      </c>
      <c r="S36" s="139">
        <f>Q36*$D36</f>
        <v>1195.2806293525837</v>
      </c>
      <c r="V36" s="198">
        <v>6.57</v>
      </c>
      <c r="W36" s="265">
        <f t="shared" si="27"/>
        <v>0.2053125</v>
      </c>
      <c r="X36" s="139">
        <f>V36*$D36</f>
        <v>1114.1625</v>
      </c>
      <c r="Y36" s="26"/>
      <c r="Z36" s="26">
        <v>6.97</v>
      </c>
      <c r="AA36" s="227">
        <f t="shared" si="28"/>
        <v>0.2178125</v>
      </c>
      <c r="AB36" s="224">
        <f aca="true" t="shared" si="33" ref="AB36:AB42">D36*Z36</f>
        <v>1181.9958333333332</v>
      </c>
      <c r="AC36" s="26"/>
      <c r="AD36" s="26">
        <v>6.88</v>
      </c>
      <c r="AE36" s="235">
        <f>AD36/B36</f>
        <v>0.215</v>
      </c>
      <c r="AF36" s="231">
        <f t="shared" si="29"/>
        <v>1166.7333333333331</v>
      </c>
      <c r="AG36" s="275"/>
      <c r="AH36" s="204">
        <f t="shared" si="30"/>
        <v>6.57</v>
      </c>
      <c r="AI36" s="261">
        <f>AH36*D36</f>
        <v>1114.1625</v>
      </c>
      <c r="AJ36" s="139"/>
      <c r="AK36"/>
      <c r="AL36" s="234">
        <f t="shared" si="31"/>
        <v>5.913</v>
      </c>
      <c r="AM36" s="231">
        <f t="shared" si="32"/>
        <v>1002.7462499999999</v>
      </c>
    </row>
    <row r="37" spans="1:39" ht="15">
      <c r="A37" s="106" t="s">
        <v>426</v>
      </c>
      <c r="B37" s="106">
        <f>8*4</f>
        <v>32</v>
      </c>
      <c r="C37" s="106">
        <f>'Wood Materials'!H261</f>
        <v>4424</v>
      </c>
      <c r="D37" s="107">
        <f>C37/4/8</f>
        <v>138.25</v>
      </c>
      <c r="E37" s="106"/>
      <c r="F37" s="104"/>
      <c r="G37" s="146">
        <f>ADV_TQ_TG</f>
        <v>0.6825</v>
      </c>
      <c r="H37" s="138">
        <f t="shared" si="24"/>
        <v>21.84</v>
      </c>
      <c r="I37" s="147">
        <f t="shared" si="25"/>
        <v>3019.38</v>
      </c>
      <c r="J37"/>
      <c r="K37" s="127">
        <f>B37</f>
        <v>32</v>
      </c>
      <c r="L37" s="128">
        <v>20.99</v>
      </c>
      <c r="M37" s="156">
        <f t="shared" si="26"/>
        <v>0.6559375</v>
      </c>
      <c r="N37" s="132">
        <f>M37*D37</f>
        <v>90.683359375</v>
      </c>
      <c r="Q37" s="171">
        <v>20.8</v>
      </c>
      <c r="R37" s="144">
        <v>0.65</v>
      </c>
      <c r="S37" s="139">
        <f>Q37*$D37</f>
        <v>2875.6</v>
      </c>
      <c r="V37" s="179">
        <v>19.47</v>
      </c>
      <c r="W37" s="265">
        <f t="shared" si="27"/>
        <v>0.6084375</v>
      </c>
      <c r="X37" s="139">
        <f>V37*$D37</f>
        <v>2691.7275</v>
      </c>
      <c r="Y37" s="26"/>
      <c r="Z37" s="26">
        <v>21.56</v>
      </c>
      <c r="AA37" s="227">
        <f t="shared" si="28"/>
        <v>0.67375</v>
      </c>
      <c r="AB37" s="224">
        <f t="shared" si="33"/>
        <v>2980.6699999999996</v>
      </c>
      <c r="AC37" s="26"/>
      <c r="AD37" s="102">
        <v>16.18</v>
      </c>
      <c r="AE37" s="235">
        <f>AD37/B37</f>
        <v>0.505625</v>
      </c>
      <c r="AF37" s="231">
        <f t="shared" si="29"/>
        <v>2236.8849999999998</v>
      </c>
      <c r="AG37" s="275"/>
      <c r="AH37" s="204">
        <f t="shared" si="30"/>
        <v>16.18</v>
      </c>
      <c r="AI37" s="261">
        <f>AH37*D37</f>
        <v>2236.8849999999998</v>
      </c>
      <c r="AJ37" s="139"/>
      <c r="AK37"/>
      <c r="AL37" s="234">
        <f t="shared" si="31"/>
        <v>14.562</v>
      </c>
      <c r="AM37" s="231">
        <f t="shared" si="32"/>
        <v>2013.1965</v>
      </c>
    </row>
    <row r="38" spans="1:39" s="210" customFormat="1" ht="15">
      <c r="A38" s="217" t="s">
        <v>427</v>
      </c>
      <c r="B38" s="217">
        <v>1</v>
      </c>
      <c r="C38" s="217">
        <f>'Wood Materials'!L265</f>
        <v>3209</v>
      </c>
      <c r="D38" s="217">
        <f>C38</f>
        <v>3209</v>
      </c>
      <c r="E38" s="217"/>
      <c r="F38" s="217"/>
      <c r="G38" s="218">
        <f>PIJx14</f>
        <v>2</v>
      </c>
      <c r="H38" s="208">
        <f t="shared" si="24"/>
        <v>2</v>
      </c>
      <c r="I38" s="219">
        <f t="shared" si="25"/>
        <v>6418</v>
      </c>
      <c r="K38" s="220">
        <v>1</v>
      </c>
      <c r="L38" s="221">
        <v>1.89</v>
      </c>
      <c r="M38" s="157">
        <f t="shared" si="26"/>
        <v>1.89</v>
      </c>
      <c r="N38" s="214">
        <f>M38*C38</f>
        <v>6065.009999999999</v>
      </c>
      <c r="P38" s="222"/>
      <c r="Q38" s="214">
        <v>2.289719626168224</v>
      </c>
      <c r="R38" s="215">
        <v>2.289719626168224</v>
      </c>
      <c r="S38" s="214">
        <f>Q38*$D38</f>
        <v>7347.710280373832</v>
      </c>
      <c r="U38" s="223"/>
      <c r="V38" s="223">
        <v>2.5</v>
      </c>
      <c r="W38" s="268">
        <f t="shared" si="27"/>
        <v>2.5</v>
      </c>
      <c r="X38" s="214">
        <f>V38*$D38</f>
        <v>8022.5</v>
      </c>
      <c r="Y38" s="26"/>
      <c r="Z38" s="26">
        <f>7059.8/3209</f>
        <v>2.2</v>
      </c>
      <c r="AA38" s="227">
        <f t="shared" si="28"/>
        <v>2.2</v>
      </c>
      <c r="AB38" s="224">
        <f t="shared" si="33"/>
        <v>7059.8</v>
      </c>
      <c r="AC38" s="26"/>
      <c r="AD38" s="238" t="s">
        <v>485</v>
      </c>
      <c r="AE38" s="239"/>
      <c r="AF38" s="240"/>
      <c r="AG38" s="275"/>
      <c r="AH38" s="204">
        <f t="shared" si="30"/>
        <v>1.89</v>
      </c>
      <c r="AI38" s="263">
        <f>AH38*C38</f>
        <v>6065.009999999999</v>
      </c>
      <c r="AJ38" s="214"/>
      <c r="AL38" s="234">
        <f t="shared" si="31"/>
        <v>1.7009999999999998</v>
      </c>
      <c r="AM38" s="231">
        <f t="shared" si="32"/>
        <v>5458.508999999999</v>
      </c>
    </row>
    <row r="39" spans="1:39" ht="15">
      <c r="A39" s="106" t="s">
        <v>462</v>
      </c>
      <c r="B39" s="106">
        <v>16</v>
      </c>
      <c r="C39" s="106">
        <f>'Wood Materials'!L266</f>
        <v>742</v>
      </c>
      <c r="D39" s="106">
        <f>TRUNC(C39/16)+1</f>
        <v>47</v>
      </c>
      <c r="E39" s="106"/>
      <c r="F39" s="104"/>
      <c r="G39" s="146">
        <f>PRJ14</f>
        <v>2</v>
      </c>
      <c r="H39" s="138">
        <f t="shared" si="24"/>
        <v>32</v>
      </c>
      <c r="I39" s="147">
        <f t="shared" si="25"/>
        <v>1484</v>
      </c>
      <c r="J39"/>
      <c r="K39" s="127">
        <v>16</v>
      </c>
      <c r="L39" s="128">
        <v>25.99</v>
      </c>
      <c r="M39" s="157">
        <f t="shared" si="26"/>
        <v>1.624375</v>
      </c>
      <c r="N39" s="132">
        <f>D39*L39</f>
        <v>1221.53</v>
      </c>
      <c r="Q39" s="139">
        <v>1.8916666666666666</v>
      </c>
      <c r="R39" s="144">
        <v>0.11822916666666666</v>
      </c>
      <c r="S39" s="139">
        <f>Q39*$C39</f>
        <v>1403.6166666666666</v>
      </c>
      <c r="V39" s="176">
        <v>1.99</v>
      </c>
      <c r="W39" s="265">
        <f t="shared" si="27"/>
        <v>0.124375</v>
      </c>
      <c r="X39" s="139">
        <f>V39*$C39</f>
        <v>1476.58</v>
      </c>
      <c r="Y39" s="26"/>
      <c r="Z39" s="26">
        <f>1212.72/744</f>
        <v>1.6300000000000001</v>
      </c>
      <c r="AA39" s="227">
        <f t="shared" si="28"/>
        <v>0.10187500000000001</v>
      </c>
      <c r="AB39" s="224">
        <f t="shared" si="33"/>
        <v>76.61</v>
      </c>
      <c r="AC39" s="26">
        <v>12</v>
      </c>
      <c r="AD39" s="26">
        <v>21.67</v>
      </c>
      <c r="AE39" s="235">
        <f>AD39/AC39</f>
        <v>1.8058333333333334</v>
      </c>
      <c r="AF39" s="231">
        <f t="shared" si="29"/>
        <v>1018.4900000000001</v>
      </c>
      <c r="AG39" s="275"/>
      <c r="AH39" s="204">
        <f t="shared" si="30"/>
        <v>1.6300000000000001</v>
      </c>
      <c r="AI39" s="261">
        <f>AH39*C39</f>
        <v>1209.46</v>
      </c>
      <c r="AJ39" s="139"/>
      <c r="AK39"/>
      <c r="AL39" s="234">
        <f t="shared" si="31"/>
        <v>1.6300000000000001</v>
      </c>
      <c r="AM39" s="231">
        <f t="shared" si="32"/>
        <v>76.61</v>
      </c>
    </row>
    <row r="40" spans="1:39" ht="15">
      <c r="A40" s="106" t="s">
        <v>428</v>
      </c>
      <c r="B40" s="106">
        <f>8*4</f>
        <v>32</v>
      </c>
      <c r="C40" s="106">
        <f>C37</f>
        <v>4424</v>
      </c>
      <c r="D40" s="107">
        <f>TRUNC(C40/4/8)+1</f>
        <v>139</v>
      </c>
      <c r="E40" s="106"/>
      <c r="F40" s="104"/>
      <c r="G40" s="146">
        <f>Luan5.2</f>
        <v>0.32125</v>
      </c>
      <c r="H40" s="163">
        <f t="shared" si="24"/>
        <v>10.28</v>
      </c>
      <c r="I40" s="147">
        <f t="shared" si="25"/>
        <v>1421.2099999999998</v>
      </c>
      <c r="J40"/>
      <c r="K40" s="130">
        <v>1</v>
      </c>
      <c r="L40" s="129">
        <v>10.99</v>
      </c>
      <c r="M40" s="158">
        <f t="shared" si="26"/>
        <v>10.99</v>
      </c>
      <c r="N40" s="132">
        <f>D40*L40</f>
        <v>1527.6100000000001</v>
      </c>
      <c r="Q40" s="139">
        <v>12</v>
      </c>
      <c r="R40" s="144">
        <v>0.375</v>
      </c>
      <c r="S40" s="139">
        <f>Q40*$D40</f>
        <v>1668</v>
      </c>
      <c r="V40" s="176">
        <v>10.59</v>
      </c>
      <c r="W40" s="265">
        <f t="shared" si="27"/>
        <v>0.3309375</v>
      </c>
      <c r="X40" s="139">
        <f>V40*$D40</f>
        <v>1472.01</v>
      </c>
      <c r="Y40" s="26"/>
      <c r="Z40" s="26">
        <f>1418.64/138</f>
        <v>10.280000000000001</v>
      </c>
      <c r="AA40" s="227">
        <f t="shared" si="28"/>
        <v>0.32125000000000004</v>
      </c>
      <c r="AB40" s="224">
        <f t="shared" si="33"/>
        <v>1428.92</v>
      </c>
      <c r="AC40" s="26"/>
      <c r="AD40" s="102">
        <v>9.91</v>
      </c>
      <c r="AE40" s="235">
        <f>AD40/B40</f>
        <v>0.3096875</v>
      </c>
      <c r="AF40" s="231">
        <f t="shared" si="29"/>
        <v>1377.49</v>
      </c>
      <c r="AG40" s="275"/>
      <c r="AH40" s="204">
        <f t="shared" si="30"/>
        <v>9.91</v>
      </c>
      <c r="AI40" s="261">
        <f>AH40*D40</f>
        <v>1377.49</v>
      </c>
      <c r="AJ40" s="139"/>
      <c r="AK40"/>
      <c r="AL40" s="234">
        <f t="shared" si="31"/>
        <v>8.919</v>
      </c>
      <c r="AM40" s="231">
        <f t="shared" si="32"/>
        <v>1239.741</v>
      </c>
    </row>
    <row r="41" spans="1:39" ht="15.75" thickBot="1">
      <c r="A41" s="106" t="s">
        <v>439</v>
      </c>
      <c r="B41" s="106">
        <f>9*150</f>
        <v>1350</v>
      </c>
      <c r="C41" s="108">
        <f>'Wood Materials'!H254-'Wood Materials'!F253</f>
        <v>4910.666666666666</v>
      </c>
      <c r="D41" s="109">
        <f>TRUNC(C41/9/150)+1</f>
        <v>4</v>
      </c>
      <c r="E41" s="106" t="s">
        <v>438</v>
      </c>
      <c r="F41" s="104"/>
      <c r="G41" s="199">
        <f>Tyvec</f>
        <v>0.11555555555555555</v>
      </c>
      <c r="H41" s="163">
        <f t="shared" si="24"/>
        <v>156</v>
      </c>
      <c r="I41" s="147">
        <f t="shared" si="25"/>
        <v>567.4548148148148</v>
      </c>
      <c r="J41"/>
      <c r="K41" s="127">
        <f>B41</f>
        <v>1350</v>
      </c>
      <c r="L41" s="128">
        <v>174.99</v>
      </c>
      <c r="M41" s="158">
        <f t="shared" si="26"/>
        <v>0.12962222222222222</v>
      </c>
      <c r="N41" s="132">
        <f>D41*L41</f>
        <v>699.96</v>
      </c>
      <c r="Q41" s="139">
        <v>0.1388888888888889</v>
      </c>
      <c r="R41" s="144">
        <v>0.00010288065843621399</v>
      </c>
      <c r="S41" s="139">
        <f>5*9*100*Q41</f>
        <v>625</v>
      </c>
      <c r="U41" s="176">
        <f>9*100</f>
        <v>900</v>
      </c>
      <c r="V41" s="176">
        <v>110</v>
      </c>
      <c r="W41" s="265">
        <f>V41/U41</f>
        <v>0.12222222222222222</v>
      </c>
      <c r="X41" s="139">
        <f>V41*5</f>
        <v>550</v>
      </c>
      <c r="Y41" s="26"/>
      <c r="Z41" s="26">
        <f>623.28/4</f>
        <v>155.82</v>
      </c>
      <c r="AA41" s="227">
        <f>Z41/9/150</f>
        <v>0.11542222222222222</v>
      </c>
      <c r="AB41" s="224">
        <f t="shared" si="33"/>
        <v>623.28</v>
      </c>
      <c r="AC41" s="26">
        <f>9*150</f>
        <v>1350</v>
      </c>
      <c r="AD41" s="26">
        <v>150.81</v>
      </c>
      <c r="AE41" s="242">
        <f>AD41/AC41</f>
        <v>0.11171111111111111</v>
      </c>
      <c r="AF41" s="231">
        <f t="shared" si="29"/>
        <v>603.24</v>
      </c>
      <c r="AG41" s="275"/>
      <c r="AH41" s="204">
        <f>MIN(Q41,L41,H41,W41,AA41,AE41)</f>
        <v>0.11171111111111111</v>
      </c>
      <c r="AI41" s="261">
        <f>AH41*D41*B41</f>
        <v>603.24</v>
      </c>
      <c r="AJ41" s="139"/>
      <c r="AK41"/>
      <c r="AL41" s="234">
        <f t="shared" si="31"/>
        <v>0.10054</v>
      </c>
      <c r="AM41" s="231">
        <f>AI41*0.9</f>
        <v>542.916</v>
      </c>
    </row>
    <row r="42" spans="2:40" ht="15.75" thickBot="1">
      <c r="B42" s="106"/>
      <c r="H42" s="134">
        <f>SUM(I35:I41)</f>
        <v>16539.93497289065</v>
      </c>
      <c r="I42" s="92"/>
      <c r="J42" s="11">
        <f>SUM(I35:I41)</f>
        <v>16539.93497289065</v>
      </c>
      <c r="P42" s="142">
        <f>SUM(N35:N41)</f>
        <v>9672.921421522304</v>
      </c>
      <c r="R42" s="144"/>
      <c r="T42" s="11">
        <f>SUM(S35:S41)</f>
        <v>15905.206947040499</v>
      </c>
      <c r="V42" s="181"/>
      <c r="W42" s="269"/>
      <c r="X42" s="175"/>
      <c r="Y42" s="138">
        <f>SUM(X35:X41)</f>
        <v>16063.36579274534</v>
      </c>
      <c r="Z42" s="154"/>
      <c r="AA42" s="148"/>
      <c r="AB42" s="224">
        <f t="shared" si="33"/>
        <v>0</v>
      </c>
      <c r="AC42" s="154"/>
      <c r="AD42" s="154"/>
      <c r="AE42" s="148"/>
      <c r="AF42" s="154"/>
      <c r="AG42" s="161"/>
      <c r="AJ42" s="133">
        <f>SUM(AI35:AI41)</f>
        <v>13342.63329274534</v>
      </c>
      <c r="AN42" s="133">
        <f>SUM(AM31:AM41)</f>
        <v>12232.065963470806</v>
      </c>
    </row>
    <row r="43" spans="8:40" ht="15">
      <c r="H43" s="134"/>
      <c r="I43" s="92"/>
      <c r="J43" s="139">
        <f>SUM(J20:J42)</f>
        <v>25437.54597289065</v>
      </c>
      <c r="P43" s="141">
        <f>SUM(P20:P42)</f>
        <v>17718.963088188968</v>
      </c>
      <c r="T43" s="139">
        <f>SUM(T20:T42)</f>
        <v>23750.75108691276</v>
      </c>
      <c r="V43" s="182"/>
      <c r="W43" s="234"/>
      <c r="X43" s="139"/>
      <c r="Y43" s="139">
        <f>SUM(Y20:Y42)</f>
        <v>23819.135792745343</v>
      </c>
      <c r="Z43" s="139"/>
      <c r="AA43" s="141"/>
      <c r="AB43" s="139"/>
      <c r="AC43" s="139"/>
      <c r="AD43" s="204"/>
      <c r="AE43" s="226"/>
      <c r="AF43" s="204"/>
      <c r="AG43" s="196"/>
      <c r="AJ43" s="139">
        <f>SUM(AJ20:AJ42)</f>
        <v>20454.474472147333</v>
      </c>
      <c r="AN43">
        <f>SUM(AN10:AN42)</f>
        <v>18782.695008716386</v>
      </c>
    </row>
    <row r="44" spans="1:28" ht="15">
      <c r="A44" s="106" t="s">
        <v>429</v>
      </c>
      <c r="B44" s="106"/>
      <c r="C44" s="108">
        <f>C35</f>
        <v>3586.658351271065</v>
      </c>
      <c r="D44" s="108">
        <f>C44/100</f>
        <v>35.86658351271065</v>
      </c>
      <c r="E44" s="106" t="s">
        <v>440</v>
      </c>
      <c r="F44" s="104"/>
      <c r="G44" s="146">
        <v>30</v>
      </c>
      <c r="H44" s="138">
        <f>G44*D44</f>
        <v>1075.9975053813193</v>
      </c>
      <c r="I44" s="147"/>
      <c r="J44" s="155"/>
      <c r="K44" s="246"/>
      <c r="L44" s="247"/>
      <c r="M44" s="248"/>
      <c r="Z44">
        <f>211.5/9/4</f>
        <v>5.875</v>
      </c>
      <c r="AB44" s="204" t="s">
        <v>483</v>
      </c>
    </row>
    <row r="45" spans="1:13" ht="15">
      <c r="A45" s="106" t="s">
        <v>441</v>
      </c>
      <c r="B45" s="106"/>
      <c r="C45" s="108">
        <f>C44</f>
        <v>3586.658351271065</v>
      </c>
      <c r="D45" s="106"/>
      <c r="E45" s="106"/>
      <c r="F45" s="104"/>
      <c r="G45" s="146"/>
      <c r="H45" s="138"/>
      <c r="I45" s="147"/>
      <c r="J45" s="155"/>
      <c r="K45" s="246"/>
      <c r="L45" s="247"/>
      <c r="M45" s="248"/>
    </row>
    <row r="46" ht="15">
      <c r="N46" s="106"/>
    </row>
    <row r="48" spans="1:13" ht="15">
      <c r="A48" s="245" t="s">
        <v>450</v>
      </c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</row>
    <row r="49" spans="1:13" ht="15">
      <c r="A49" s="106" t="s">
        <v>442</v>
      </c>
      <c r="B49" s="106" t="s">
        <v>331</v>
      </c>
      <c r="C49" s="106" t="s">
        <v>332</v>
      </c>
      <c r="D49" s="106" t="s">
        <v>333</v>
      </c>
      <c r="E49" s="118" t="s">
        <v>210</v>
      </c>
      <c r="F49" s="125" t="s">
        <v>451</v>
      </c>
      <c r="H49" s="147"/>
      <c r="I49" s="138"/>
      <c r="J49" s="155"/>
      <c r="K49" s="127"/>
      <c r="L49" s="128"/>
      <c r="M49" s="156"/>
    </row>
    <row r="50" spans="1:38" s="192" customFormat="1" ht="15">
      <c r="A50" s="183" t="s">
        <v>443</v>
      </c>
      <c r="B50" s="183">
        <v>4</v>
      </c>
      <c r="C50" s="183"/>
      <c r="D50" s="183"/>
      <c r="E50" s="183">
        <v>1</v>
      </c>
      <c r="F50" s="184">
        <f aca="true" t="shared" si="34" ref="F50:F56">SUM(B50:E50)</f>
        <v>5</v>
      </c>
      <c r="G50" s="185"/>
      <c r="H50" s="192">
        <v>442.25</v>
      </c>
      <c r="I50" s="187">
        <f aca="true" t="shared" si="35" ref="I50:I56">H50*F50</f>
        <v>2211.25</v>
      </c>
      <c r="J50" s="188"/>
      <c r="K50" s="189"/>
      <c r="L50" s="190">
        <v>429.99</v>
      </c>
      <c r="M50" s="191">
        <f>F50*L50</f>
        <v>2149.95</v>
      </c>
      <c r="P50" s="185"/>
      <c r="Q50" s="193"/>
      <c r="S50" s="193"/>
      <c r="U50" s="194"/>
      <c r="V50" s="194">
        <v>520.91</v>
      </c>
      <c r="W50" s="270">
        <v>442.25</v>
      </c>
      <c r="X50" s="195">
        <f>V50*$F50</f>
        <v>2604.5499999999997</v>
      </c>
      <c r="Y50" s="195">
        <f>W50*$F50</f>
        <v>2211.25</v>
      </c>
      <c r="Z50" s="195"/>
      <c r="AA50" s="230"/>
      <c r="AB50" s="225"/>
      <c r="AC50" s="195"/>
      <c r="AD50" s="195"/>
      <c r="AE50" s="236">
        <f>459.04+4.57</f>
        <v>463.61</v>
      </c>
      <c r="AF50" s="233"/>
      <c r="AG50" s="277"/>
      <c r="AH50" s="204">
        <f>MIN(Q50,L50,H50,W50)</f>
        <v>429.99</v>
      </c>
      <c r="AI50" s="264">
        <f>AH50*$F50</f>
        <v>2149.95</v>
      </c>
      <c r="AK50" s="193"/>
      <c r="AL50" s="236"/>
    </row>
    <row r="51" spans="1:35" ht="15">
      <c r="A51" s="106" t="s">
        <v>458</v>
      </c>
      <c r="B51" s="106"/>
      <c r="C51" s="106"/>
      <c r="D51" s="106"/>
      <c r="E51" s="106">
        <v>7</v>
      </c>
      <c r="F51" s="125">
        <f t="shared" si="34"/>
        <v>7</v>
      </c>
      <c r="H51">
        <v>369.75</v>
      </c>
      <c r="I51" s="138">
        <f t="shared" si="35"/>
        <v>2588.25</v>
      </c>
      <c r="J51" s="155"/>
      <c r="K51" s="127"/>
      <c r="L51" s="128">
        <v>379.99</v>
      </c>
      <c r="M51" s="156">
        <f aca="true" t="shared" si="36" ref="M51:M56">F51*L51</f>
        <v>2659.9300000000003</v>
      </c>
      <c r="V51" s="176">
        <v>448.41</v>
      </c>
      <c r="W51" s="265">
        <v>369.75</v>
      </c>
      <c r="X51" s="195">
        <f aca="true" t="shared" si="37" ref="X51:X56">V51*F51</f>
        <v>3138.8700000000003</v>
      </c>
      <c r="Y51" s="195">
        <f aca="true" t="shared" si="38" ref="Y51:Y56">W51*$F51</f>
        <v>2588.25</v>
      </c>
      <c r="Z51" s="195"/>
      <c r="AA51" s="230"/>
      <c r="AB51" s="225"/>
      <c r="AC51" s="195"/>
      <c r="AD51" s="195"/>
      <c r="AE51" s="236">
        <f>383.04+4.65</f>
        <v>387.69</v>
      </c>
      <c r="AF51" s="233"/>
      <c r="AG51" s="277"/>
      <c r="AH51" s="204">
        <f aca="true" t="shared" si="39" ref="AH51:AH56">MIN(Q51,L51,H51,W51)</f>
        <v>369.75</v>
      </c>
      <c r="AI51" s="264">
        <f aca="true" t="shared" si="40" ref="AI51:AI56">AH51*$F51</f>
        <v>2588.25</v>
      </c>
    </row>
    <row r="52" spans="1:38" s="192" customFormat="1" ht="15">
      <c r="A52" s="183" t="s">
        <v>444</v>
      </c>
      <c r="B52" s="183">
        <v>1</v>
      </c>
      <c r="C52" s="183"/>
      <c r="D52" s="183"/>
      <c r="E52" s="183"/>
      <c r="F52" s="184">
        <f t="shared" si="34"/>
        <v>1</v>
      </c>
      <c r="G52" s="185"/>
      <c r="H52" s="186">
        <f>Y52</f>
        <v>2880.5</v>
      </c>
      <c r="I52" s="187">
        <f t="shared" si="35"/>
        <v>2880.5</v>
      </c>
      <c r="J52" s="188"/>
      <c r="K52" s="189"/>
      <c r="L52" s="190">
        <v>2049.99</v>
      </c>
      <c r="M52" s="191">
        <f t="shared" si="36"/>
        <v>2049.99</v>
      </c>
      <c r="P52" s="185"/>
      <c r="Q52" s="193"/>
      <c r="S52" s="193"/>
      <c r="U52" s="194"/>
      <c r="V52" s="194">
        <v>2980.5</v>
      </c>
      <c r="W52" s="270">
        <f>V52-100</f>
        <v>2880.5</v>
      </c>
      <c r="X52" s="195">
        <f t="shared" si="37"/>
        <v>2980.5</v>
      </c>
      <c r="Y52" s="195">
        <f t="shared" si="38"/>
        <v>2880.5</v>
      </c>
      <c r="Z52" s="195"/>
      <c r="AA52" s="230"/>
      <c r="AB52" s="225"/>
      <c r="AC52" s="195"/>
      <c r="AD52" s="195"/>
      <c r="AE52" s="236"/>
      <c r="AF52" s="233"/>
      <c r="AG52" s="277"/>
      <c r="AH52" s="204">
        <f t="shared" si="39"/>
        <v>2049.99</v>
      </c>
      <c r="AI52" s="264">
        <f t="shared" si="40"/>
        <v>2049.99</v>
      </c>
      <c r="AK52" s="193"/>
      <c r="AL52" s="236"/>
    </row>
    <row r="53" spans="1:35" ht="15">
      <c r="A53" s="106" t="s">
        <v>445</v>
      </c>
      <c r="B53" s="106">
        <v>2</v>
      </c>
      <c r="C53" s="106"/>
      <c r="D53" s="106"/>
      <c r="E53" s="106"/>
      <c r="F53" s="125">
        <f t="shared" si="34"/>
        <v>2</v>
      </c>
      <c r="H53" s="147">
        <f>AW4060SS</f>
        <v>562.8000000000001</v>
      </c>
      <c r="I53" s="138">
        <f t="shared" si="35"/>
        <v>1125.6000000000001</v>
      </c>
      <c r="J53" s="155"/>
      <c r="K53" s="127"/>
      <c r="L53" s="128">
        <v>449.99</v>
      </c>
      <c r="M53" s="156">
        <f t="shared" si="36"/>
        <v>899.98</v>
      </c>
      <c r="V53" s="176">
        <v>531.21</v>
      </c>
      <c r="W53" s="265">
        <v>470.53</v>
      </c>
      <c r="X53" s="195">
        <f t="shared" si="37"/>
        <v>1062.42</v>
      </c>
      <c r="Y53" s="195">
        <f t="shared" si="38"/>
        <v>941.06</v>
      </c>
      <c r="Z53" s="195"/>
      <c r="AA53" s="230"/>
      <c r="AB53" s="225"/>
      <c r="AC53" s="195"/>
      <c r="AD53" s="195"/>
      <c r="AE53" s="236">
        <f>493.24</f>
        <v>493.24</v>
      </c>
      <c r="AF53" s="233"/>
      <c r="AG53" s="277"/>
      <c r="AH53" s="204">
        <f t="shared" si="39"/>
        <v>449.99</v>
      </c>
      <c r="AI53" s="264">
        <f t="shared" si="40"/>
        <v>899.98</v>
      </c>
    </row>
    <row r="54" spans="1:38" s="192" customFormat="1" ht="15">
      <c r="A54" s="183" t="s">
        <v>446</v>
      </c>
      <c r="B54" s="183">
        <v>2</v>
      </c>
      <c r="C54" s="183"/>
      <c r="D54" s="183">
        <v>4</v>
      </c>
      <c r="E54" s="183">
        <v>3</v>
      </c>
      <c r="F54" s="184">
        <f t="shared" si="34"/>
        <v>9</v>
      </c>
      <c r="G54" s="185"/>
      <c r="H54" s="186">
        <f>CW26SS</f>
        <v>713.1600000000001</v>
      </c>
      <c r="I54" s="187">
        <f t="shared" si="35"/>
        <v>6418.4400000000005</v>
      </c>
      <c r="J54" s="188"/>
      <c r="K54" s="189"/>
      <c r="L54" s="190">
        <v>679.99</v>
      </c>
      <c r="M54" s="191">
        <f t="shared" si="36"/>
        <v>6119.91</v>
      </c>
      <c r="P54" s="185"/>
      <c r="Q54" s="193"/>
      <c r="S54" s="193"/>
      <c r="U54" s="194"/>
      <c r="V54" s="194">
        <v>773.28</v>
      </c>
      <c r="W54" s="270">
        <v>658.3</v>
      </c>
      <c r="X54" s="195">
        <f t="shared" si="37"/>
        <v>6959.5199999999995</v>
      </c>
      <c r="Y54" s="195">
        <f t="shared" si="38"/>
        <v>5924.7</v>
      </c>
      <c r="Z54" s="195"/>
      <c r="AA54" s="230"/>
      <c r="AB54" s="225"/>
      <c r="AC54" s="195"/>
      <c r="AD54" s="195"/>
      <c r="AE54" s="236">
        <f>680.96+4.57*2</f>
        <v>690.1</v>
      </c>
      <c r="AF54" s="233"/>
      <c r="AG54" s="277"/>
      <c r="AH54" s="204">
        <f t="shared" si="39"/>
        <v>658.3</v>
      </c>
      <c r="AI54" s="264">
        <f t="shared" si="40"/>
        <v>5924.7</v>
      </c>
      <c r="AK54" s="193"/>
      <c r="AL54" s="236"/>
    </row>
    <row r="55" spans="1:35" ht="15">
      <c r="A55" s="106" t="s">
        <v>448</v>
      </c>
      <c r="B55" s="106">
        <v>1</v>
      </c>
      <c r="C55" s="106">
        <v>12</v>
      </c>
      <c r="D55" s="106"/>
      <c r="E55" s="106"/>
      <c r="F55" s="125">
        <f t="shared" si="34"/>
        <v>13</v>
      </c>
      <c r="H55" s="147">
        <f>CW245SS</f>
        <v>580.44</v>
      </c>
      <c r="I55" s="138">
        <f t="shared" si="35"/>
        <v>7545.720000000001</v>
      </c>
      <c r="J55" s="155"/>
      <c r="K55" s="127"/>
      <c r="L55" s="128">
        <v>559.99</v>
      </c>
      <c r="M55" s="156">
        <f t="shared" si="36"/>
        <v>7279.87</v>
      </c>
      <c r="V55" s="176">
        <v>639.59</v>
      </c>
      <c r="W55" s="265">
        <v>542.3</v>
      </c>
      <c r="X55" s="195">
        <f t="shared" si="37"/>
        <v>8314.67</v>
      </c>
      <c r="Y55" s="195">
        <f t="shared" si="38"/>
        <v>7049.9</v>
      </c>
      <c r="Z55" s="195"/>
      <c r="AA55" s="230"/>
      <c r="AB55" s="225"/>
      <c r="AC55" s="195"/>
      <c r="AD55" s="195"/>
      <c r="AE55" s="236">
        <f>559.36+4.57*2</f>
        <v>568.5</v>
      </c>
      <c r="AF55" s="233"/>
      <c r="AG55" s="277"/>
      <c r="AH55" s="204">
        <f t="shared" si="39"/>
        <v>542.3</v>
      </c>
      <c r="AI55" s="264">
        <f t="shared" si="40"/>
        <v>7049.9</v>
      </c>
    </row>
    <row r="56" spans="1:38" s="192" customFormat="1" ht="15">
      <c r="A56" s="183" t="s">
        <v>449</v>
      </c>
      <c r="B56" s="183"/>
      <c r="C56" s="183">
        <v>1</v>
      </c>
      <c r="D56" s="183"/>
      <c r="E56" s="183"/>
      <c r="F56" s="184">
        <f t="shared" si="34"/>
        <v>1</v>
      </c>
      <c r="G56" s="185"/>
      <c r="H56" s="186">
        <f>1959*0.8</f>
        <v>1567.2</v>
      </c>
      <c r="I56" s="187">
        <f t="shared" si="35"/>
        <v>1567.2</v>
      </c>
      <c r="J56" s="188"/>
      <c r="K56" s="189"/>
      <c r="L56" s="190">
        <v>1639.99</v>
      </c>
      <c r="M56" s="191">
        <f t="shared" si="36"/>
        <v>1639.99</v>
      </c>
      <c r="P56" s="185"/>
      <c r="Q56" s="193"/>
      <c r="S56" s="193"/>
      <c r="U56" s="194"/>
      <c r="V56" s="194">
        <v>1625.52</v>
      </c>
      <c r="W56" s="270">
        <v>1567.45</v>
      </c>
      <c r="X56" s="195">
        <f t="shared" si="37"/>
        <v>1625.52</v>
      </c>
      <c r="Y56" s="195">
        <f t="shared" si="38"/>
        <v>1567.45</v>
      </c>
      <c r="Z56" s="195"/>
      <c r="AA56" s="230"/>
      <c r="AB56" s="225"/>
      <c r="AC56" s="195"/>
      <c r="AD56" s="195"/>
      <c r="AE56" s="236">
        <f>1596.75+40.28+15.2+20.67+16.72</f>
        <v>1689.6200000000001</v>
      </c>
      <c r="AF56" s="233"/>
      <c r="AG56" s="277"/>
      <c r="AH56" s="204">
        <f t="shared" si="39"/>
        <v>1567.2</v>
      </c>
      <c r="AI56" s="264">
        <f t="shared" si="40"/>
        <v>1567.2</v>
      </c>
      <c r="AK56" s="193"/>
      <c r="AL56" s="236"/>
    </row>
    <row r="57" spans="9:35" ht="15">
      <c r="I57" s="134">
        <f>SUM(I50:I56)</f>
        <v>24336.960000000003</v>
      </c>
      <c r="N57" s="131">
        <f>SUM(M50:M56)</f>
        <v>22799.620000000003</v>
      </c>
      <c r="X57" s="23">
        <f>SUM(X50:X56)</f>
        <v>26686.05</v>
      </c>
      <c r="Y57" s="23">
        <f>SUM(Y50:Y56)</f>
        <v>23163.109999999997</v>
      </c>
      <c r="Z57" s="23"/>
      <c r="AC57" s="23"/>
      <c r="AD57" s="23"/>
      <c r="AH57" s="204">
        <f>SUM(AH50:AH56)</f>
        <v>6067.5199999999995</v>
      </c>
      <c r="AI57" s="261">
        <f>SUM(AI50:AI56)</f>
        <v>22229.969999999998</v>
      </c>
    </row>
  </sheetData>
  <sheetProtection/>
  <mergeCells count="11">
    <mergeCell ref="AD9:AF9"/>
    <mergeCell ref="AH9:AJ9"/>
    <mergeCell ref="AL9:AN9"/>
    <mergeCell ref="Z9:AB9"/>
    <mergeCell ref="V9:X9"/>
    <mergeCell ref="A48:M48"/>
    <mergeCell ref="K44:M44"/>
    <mergeCell ref="K45:M45"/>
    <mergeCell ref="G9:I9"/>
    <mergeCell ref="Q9:S9"/>
    <mergeCell ref="L9:N9"/>
  </mergeCells>
  <printOptions/>
  <pageMargins left="0.7" right="0.7" top="0.75" bottom="0.75" header="0.3" footer="0.3"/>
  <pageSetup fitToHeight="1" fitToWidth="1" horizontalDpi="300" verticalDpi="3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timmins</dc:creator>
  <cp:keywords/>
  <dc:description/>
  <cp:lastModifiedBy>timmins</cp:lastModifiedBy>
  <cp:lastPrinted>2009-09-21T13:56:10Z</cp:lastPrinted>
  <dcterms:created xsi:type="dcterms:W3CDTF">2008-05-18T08:21:46Z</dcterms:created>
  <dcterms:modified xsi:type="dcterms:W3CDTF">2009-09-21T13:57:52Z</dcterms:modified>
  <cp:category/>
  <cp:version/>
  <cp:contentType/>
  <cp:contentStatus/>
</cp:coreProperties>
</file>